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S:\SFI\Innovation\PhD Programme\CRT Call Doc\Budget Spreadsheet\"/>
    </mc:Choice>
  </mc:AlternateContent>
  <xr:revisionPtr revIDLastSave="0" documentId="13_ncr:1_{71CB032F-19FA-4BA8-961F-95CDB95B8E71}" xr6:coauthVersionLast="33" xr6:coauthVersionMax="33" xr10:uidLastSave="{00000000-0000-0000-0000-000000000000}"/>
  <bookViews>
    <workbookView xWindow="0" yWindow="0" windowWidth="28800" windowHeight="14025" activeTab="3" xr2:uid="{00000000-000D-0000-FFFF-FFFF00000000}"/>
  </bookViews>
  <sheets>
    <sheet name="Guidance" sheetId="5" r:id="rId1"/>
    <sheet name="Student Costs" sheetId="2" r:id="rId2"/>
    <sheet name="SFI Operational Costs" sheetId="3" r:id="rId3"/>
    <sheet name="Partner Operational Costs (opt)" sheetId="8" r:id="rId4"/>
    <sheet name="Summary Budget" sheetId="1" r:id="rId5"/>
    <sheet name="SFI Summary Sheet for Sesame" sheetId="4" r:id="rId6"/>
  </sheets>
  <definedNames>
    <definedName name="_xlnm.Print_Area" localSheetId="1">'Student Costs'!$A$1:$F$36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8" l="1"/>
  <c r="J52" i="8"/>
  <c r="J53" i="8"/>
  <c r="J54" i="8"/>
  <c r="J46" i="8"/>
  <c r="J47" i="8"/>
  <c r="J41" i="8"/>
  <c r="J42" i="8"/>
  <c r="J36" i="8"/>
  <c r="J37" i="8"/>
  <c r="J32" i="8"/>
  <c r="J23" i="8"/>
  <c r="J24" i="8"/>
  <c r="J25" i="8"/>
  <c r="J26" i="8"/>
  <c r="J18" i="8"/>
  <c r="J19" i="8"/>
  <c r="J13" i="8"/>
  <c r="J14" i="8"/>
  <c r="J8" i="8"/>
  <c r="J9" i="8"/>
  <c r="J4" i="8"/>
  <c r="J23" i="3"/>
  <c r="J24" i="3"/>
  <c r="J25" i="3"/>
  <c r="J26" i="3"/>
  <c r="J18" i="3"/>
  <c r="J19" i="3"/>
  <c r="J13" i="3"/>
  <c r="J14" i="3"/>
  <c r="J8" i="3"/>
  <c r="J9" i="3"/>
  <c r="J4" i="3"/>
  <c r="J25" i="4" l="1"/>
  <c r="J26" i="4"/>
  <c r="J20" i="4"/>
  <c r="J21" i="4"/>
  <c r="J15" i="4"/>
  <c r="J16" i="4"/>
  <c r="J11" i="4"/>
  <c r="J5" i="4"/>
  <c r="J6" i="4"/>
  <c r="J7" i="4"/>
  <c r="F26" i="4" l="1"/>
  <c r="G26" i="4"/>
  <c r="H26" i="4"/>
  <c r="I26" i="4"/>
  <c r="F21" i="4"/>
  <c r="G21" i="4"/>
  <c r="H21" i="4"/>
  <c r="I21" i="4"/>
  <c r="F16" i="4"/>
  <c r="G16" i="4"/>
  <c r="H16" i="4"/>
  <c r="I16" i="4"/>
  <c r="F12" i="1"/>
  <c r="G12" i="1"/>
  <c r="H12" i="1"/>
  <c r="I12" i="1"/>
  <c r="D54" i="8"/>
  <c r="F53" i="8"/>
  <c r="I48" i="8"/>
  <c r="I54" i="8" s="1"/>
  <c r="H48" i="8"/>
  <c r="H54" i="8" s="1"/>
  <c r="G48" i="8"/>
  <c r="G54" i="8" s="1"/>
  <c r="F48" i="8"/>
  <c r="F54" i="8" s="1"/>
  <c r="E48" i="8"/>
  <c r="E54" i="8" s="1"/>
  <c r="D48" i="8"/>
  <c r="C48" i="8"/>
  <c r="C54" i="8" s="1"/>
  <c r="B48" i="8"/>
  <c r="B54" i="8" s="1"/>
  <c r="J48" i="8"/>
  <c r="I43" i="8"/>
  <c r="I53" i="8" s="1"/>
  <c r="H43" i="8"/>
  <c r="H53" i="8" s="1"/>
  <c r="G43" i="8"/>
  <c r="G53" i="8" s="1"/>
  <c r="F43" i="8"/>
  <c r="E43" i="8"/>
  <c r="E53" i="8" s="1"/>
  <c r="D43" i="8"/>
  <c r="D53" i="8" s="1"/>
  <c r="C43" i="8"/>
  <c r="C53" i="8" s="1"/>
  <c r="B43" i="8"/>
  <c r="B53" i="8" s="1"/>
  <c r="J43" i="8"/>
  <c r="I38" i="8"/>
  <c r="I52" i="8" s="1"/>
  <c r="H38" i="8"/>
  <c r="H52" i="8" s="1"/>
  <c r="G38" i="8"/>
  <c r="G52" i="8" s="1"/>
  <c r="F38" i="8"/>
  <c r="F52" i="8" s="1"/>
  <c r="E38" i="8"/>
  <c r="E52" i="8" s="1"/>
  <c r="D38" i="8"/>
  <c r="D52" i="8" s="1"/>
  <c r="C38" i="8"/>
  <c r="C52" i="8" s="1"/>
  <c r="B38" i="8"/>
  <c r="B52" i="8" s="1"/>
  <c r="I33" i="8"/>
  <c r="I51" i="8" s="1"/>
  <c r="H33" i="8"/>
  <c r="H51" i="8" s="1"/>
  <c r="G33" i="8"/>
  <c r="G51" i="8" s="1"/>
  <c r="F33" i="8"/>
  <c r="F51" i="8" s="1"/>
  <c r="E33" i="8"/>
  <c r="E51" i="8" s="1"/>
  <c r="D33" i="8"/>
  <c r="D51" i="8" s="1"/>
  <c r="D55" i="8" s="1"/>
  <c r="D22" i="1" s="1"/>
  <c r="C33" i="8"/>
  <c r="C51" i="8" s="1"/>
  <c r="B33" i="8"/>
  <c r="B51" i="8" s="1"/>
  <c r="J33" i="8"/>
  <c r="I20" i="8"/>
  <c r="I26" i="8" s="1"/>
  <c r="H20" i="8"/>
  <c r="H26" i="8" s="1"/>
  <c r="G20" i="8"/>
  <c r="G26" i="8" s="1"/>
  <c r="F20" i="8"/>
  <c r="F26" i="8" s="1"/>
  <c r="E20" i="8"/>
  <c r="E26" i="8" s="1"/>
  <c r="D20" i="8"/>
  <c r="D26" i="8" s="1"/>
  <c r="C20" i="8"/>
  <c r="C26" i="8" s="1"/>
  <c r="B20" i="8"/>
  <c r="B26" i="8" s="1"/>
  <c r="J20" i="8"/>
  <c r="I15" i="8"/>
  <c r="I25" i="8" s="1"/>
  <c r="H15" i="8"/>
  <c r="H25" i="8" s="1"/>
  <c r="G15" i="8"/>
  <c r="G25" i="8" s="1"/>
  <c r="F15" i="8"/>
  <c r="F25" i="8" s="1"/>
  <c r="E15" i="8"/>
  <c r="E25" i="8" s="1"/>
  <c r="D15" i="8"/>
  <c r="D25" i="8" s="1"/>
  <c r="C15" i="8"/>
  <c r="C25" i="8" s="1"/>
  <c r="B15" i="8"/>
  <c r="B25" i="8" s="1"/>
  <c r="I10" i="8"/>
  <c r="I24" i="8" s="1"/>
  <c r="H10" i="8"/>
  <c r="H24" i="8" s="1"/>
  <c r="G10" i="8"/>
  <c r="G24" i="8" s="1"/>
  <c r="F10" i="8"/>
  <c r="F24" i="8" s="1"/>
  <c r="E10" i="8"/>
  <c r="E24" i="8" s="1"/>
  <c r="D10" i="8"/>
  <c r="D24" i="8" s="1"/>
  <c r="C10" i="8"/>
  <c r="C24" i="8" s="1"/>
  <c r="B10" i="8"/>
  <c r="B24" i="8" s="1"/>
  <c r="I5" i="8"/>
  <c r="I23" i="8" s="1"/>
  <c r="H5" i="8"/>
  <c r="H23" i="8" s="1"/>
  <c r="G5" i="8"/>
  <c r="G23" i="8" s="1"/>
  <c r="F5" i="8"/>
  <c r="F23" i="8" s="1"/>
  <c r="F27" i="8" s="1"/>
  <c r="F21" i="1" s="1"/>
  <c r="E5" i="8"/>
  <c r="E23" i="8" s="1"/>
  <c r="D5" i="8"/>
  <c r="D23" i="8" s="1"/>
  <c r="C5" i="8"/>
  <c r="C23" i="8" s="1"/>
  <c r="B5" i="8"/>
  <c r="B23" i="8" s="1"/>
  <c r="J5" i="8"/>
  <c r="G27" i="3"/>
  <c r="C20" i="3"/>
  <c r="C26" i="3" s="1"/>
  <c r="C26" i="4" s="1"/>
  <c r="D20" i="3"/>
  <c r="D26" i="3" s="1"/>
  <c r="D26" i="4" s="1"/>
  <c r="E20" i="3"/>
  <c r="E26" i="3" s="1"/>
  <c r="E26" i="4" s="1"/>
  <c r="F20" i="3"/>
  <c r="F26" i="3" s="1"/>
  <c r="G20" i="3"/>
  <c r="G26" i="3" s="1"/>
  <c r="H20" i="3"/>
  <c r="H26" i="3" s="1"/>
  <c r="I20" i="3"/>
  <c r="I26" i="3" s="1"/>
  <c r="B20" i="3"/>
  <c r="B26" i="3" s="1"/>
  <c r="B26" i="4" s="1"/>
  <c r="C15" i="3"/>
  <c r="C25" i="3" s="1"/>
  <c r="C21" i="4" s="1"/>
  <c r="D15" i="3"/>
  <c r="D25" i="3" s="1"/>
  <c r="D21" i="4" s="1"/>
  <c r="E15" i="3"/>
  <c r="E25" i="3" s="1"/>
  <c r="E21" i="4" s="1"/>
  <c r="F15" i="3"/>
  <c r="F25" i="3" s="1"/>
  <c r="G15" i="3"/>
  <c r="G25" i="3" s="1"/>
  <c r="H15" i="3"/>
  <c r="H25" i="3" s="1"/>
  <c r="I15" i="3"/>
  <c r="I25" i="3" s="1"/>
  <c r="B15" i="3"/>
  <c r="B25" i="3" s="1"/>
  <c r="B21" i="4" s="1"/>
  <c r="C10" i="3"/>
  <c r="C24" i="3" s="1"/>
  <c r="C16" i="4" s="1"/>
  <c r="D10" i="3"/>
  <c r="D24" i="3" s="1"/>
  <c r="D16" i="4" s="1"/>
  <c r="E10" i="3"/>
  <c r="E24" i="3" s="1"/>
  <c r="E16" i="4" s="1"/>
  <c r="F10" i="3"/>
  <c r="F24" i="3" s="1"/>
  <c r="G10" i="3"/>
  <c r="G24" i="3" s="1"/>
  <c r="H10" i="3"/>
  <c r="H24" i="3" s="1"/>
  <c r="I10" i="3"/>
  <c r="I24" i="3" s="1"/>
  <c r="B10" i="3"/>
  <c r="B24" i="3" s="1"/>
  <c r="B16" i="4" s="1"/>
  <c r="C5" i="3"/>
  <c r="C23" i="3" s="1"/>
  <c r="C27" i="3" s="1"/>
  <c r="C12" i="1" s="1"/>
  <c r="D5" i="3"/>
  <c r="D23" i="3" s="1"/>
  <c r="D27" i="3" s="1"/>
  <c r="D12" i="1" s="1"/>
  <c r="E5" i="3"/>
  <c r="E23" i="3" s="1"/>
  <c r="E27" i="3" s="1"/>
  <c r="E12" i="1" s="1"/>
  <c r="F5" i="3"/>
  <c r="F23" i="3" s="1"/>
  <c r="F27" i="3" s="1"/>
  <c r="G5" i="3"/>
  <c r="G23" i="3" s="1"/>
  <c r="H5" i="3"/>
  <c r="H23" i="3" s="1"/>
  <c r="H27" i="3" s="1"/>
  <c r="I5" i="3"/>
  <c r="I23" i="3" s="1"/>
  <c r="I27" i="3" s="1"/>
  <c r="B5" i="3"/>
  <c r="B23" i="3" s="1"/>
  <c r="B27" i="3" s="1"/>
  <c r="B12" i="1" s="1"/>
  <c r="B12" i="4"/>
  <c r="C5" i="4"/>
  <c r="E28" i="2"/>
  <c r="E35" i="2" s="1"/>
  <c r="F25" i="4" s="1"/>
  <c r="D28" i="2"/>
  <c r="D35" i="2" s="1"/>
  <c r="C28" i="2"/>
  <c r="C35" i="2" s="1"/>
  <c r="B28" i="2"/>
  <c r="B35" i="2" s="1"/>
  <c r="E25" i="4" s="1"/>
  <c r="E22" i="2"/>
  <c r="E34" i="2" s="1"/>
  <c r="I20" i="4" s="1"/>
  <c r="D22" i="2"/>
  <c r="D34" i="2" s="1"/>
  <c r="C22" i="2"/>
  <c r="C34" i="2" s="1"/>
  <c r="B22" i="2"/>
  <c r="B34" i="2" s="1"/>
  <c r="E20" i="4" s="1"/>
  <c r="E16" i="2"/>
  <c r="E33" i="2" s="1"/>
  <c r="H15" i="4" s="1"/>
  <c r="D16" i="2"/>
  <c r="D33" i="2" s="1"/>
  <c r="C16" i="2"/>
  <c r="C33" i="2" s="1"/>
  <c r="B16" i="2"/>
  <c r="B33" i="2" s="1"/>
  <c r="D15" i="4" s="1"/>
  <c r="E6" i="2"/>
  <c r="E31" i="2" s="1"/>
  <c r="D6" i="2"/>
  <c r="D31" i="2" s="1"/>
  <c r="C6" i="2"/>
  <c r="C31" i="2" s="1"/>
  <c r="B6" i="2"/>
  <c r="B31" i="2" s="1"/>
  <c r="F26" i="2"/>
  <c r="G20" i="4" l="1"/>
  <c r="J10" i="8"/>
  <c r="E55" i="8"/>
  <c r="E22" i="1" s="1"/>
  <c r="F55" i="8"/>
  <c r="F22" i="1" s="1"/>
  <c r="H20" i="4"/>
  <c r="G25" i="4"/>
  <c r="H25" i="4"/>
  <c r="I25" i="4"/>
  <c r="G15" i="4"/>
  <c r="F20" i="4"/>
  <c r="D27" i="8"/>
  <c r="D21" i="1" s="1"/>
  <c r="J15" i="8"/>
  <c r="B55" i="8"/>
  <c r="B22" i="1" s="1"/>
  <c r="J38" i="8"/>
  <c r="E15" i="4"/>
  <c r="F15" i="4"/>
  <c r="I15" i="4"/>
  <c r="C20" i="4"/>
  <c r="D25" i="4"/>
  <c r="C25" i="4"/>
  <c r="C15" i="4"/>
  <c r="D20" i="4"/>
  <c r="C55" i="8"/>
  <c r="C22" i="1" s="1"/>
  <c r="G55" i="8"/>
  <c r="G22" i="1" s="1"/>
  <c r="I55" i="8"/>
  <c r="I22" i="1" s="1"/>
  <c r="H55" i="8"/>
  <c r="H22" i="1" s="1"/>
  <c r="C27" i="8"/>
  <c r="C21" i="1" s="1"/>
  <c r="H27" i="8"/>
  <c r="H21" i="1" s="1"/>
  <c r="G27" i="8"/>
  <c r="G21" i="1" s="1"/>
  <c r="I27" i="8"/>
  <c r="I21" i="1" s="1"/>
  <c r="E27" i="8"/>
  <c r="E21" i="1" s="1"/>
  <c r="B27" i="8"/>
  <c r="B21" i="1" s="1"/>
  <c r="B23" i="1" s="1"/>
  <c r="D9" i="2"/>
  <c r="D10" i="2" s="1"/>
  <c r="D32" i="2" s="1"/>
  <c r="B9" i="2"/>
  <c r="B10" i="2" s="1"/>
  <c r="B32" i="2" s="1"/>
  <c r="J11" i="1"/>
  <c r="C11" i="4" l="1"/>
  <c r="C12" i="4" s="1"/>
  <c r="J55" i="8"/>
  <c r="J27" i="8"/>
  <c r="J30" i="1"/>
  <c r="J20" i="1"/>
  <c r="C2" i="1"/>
  <c r="B7" i="4"/>
  <c r="B8" i="4" s="1"/>
  <c r="B22" i="4" l="1"/>
  <c r="B27" i="4"/>
  <c r="B17" i="4"/>
  <c r="B33" i="1"/>
  <c r="B13" i="1"/>
  <c r="F13" i="2"/>
  <c r="B31" i="1" l="1"/>
  <c r="B32" i="1" s="1"/>
  <c r="B34" i="1" s="1"/>
  <c r="D6" i="4"/>
  <c r="E6" i="4"/>
  <c r="F6" i="4"/>
  <c r="G6" i="4"/>
  <c r="H6" i="4"/>
  <c r="I6" i="4"/>
  <c r="C6" i="4"/>
  <c r="C8" i="4" s="1"/>
  <c r="I5" i="4"/>
  <c r="H5" i="4"/>
  <c r="G5" i="4"/>
  <c r="F5" i="4"/>
  <c r="E5" i="4"/>
  <c r="D5" i="4"/>
  <c r="J5" i="3"/>
  <c r="G7" i="4"/>
  <c r="H7" i="4"/>
  <c r="I7" i="4"/>
  <c r="F7" i="4"/>
  <c r="E7" i="4"/>
  <c r="D7" i="4"/>
  <c r="C7" i="4"/>
  <c r="B3" i="1"/>
  <c r="C9" i="2"/>
  <c r="C10" i="2" s="1"/>
  <c r="C32" i="2" s="1"/>
  <c r="E9" i="2"/>
  <c r="F4" i="2"/>
  <c r="F5" i="2"/>
  <c r="E11" i="4" l="1"/>
  <c r="E12" i="4" s="1"/>
  <c r="D11" i="4"/>
  <c r="D12" i="4" s="1"/>
  <c r="E8" i="4"/>
  <c r="D8" i="4"/>
  <c r="F8" i="4"/>
  <c r="G8" i="4"/>
  <c r="H8" i="4"/>
  <c r="I8" i="4"/>
  <c r="F6" i="2"/>
  <c r="E10" i="2"/>
  <c r="E32" i="2" s="1"/>
  <c r="F9" i="2"/>
  <c r="F10" i="2" s="1"/>
  <c r="F22" i="4"/>
  <c r="E22" i="4"/>
  <c r="F25" i="2"/>
  <c r="F31" i="2"/>
  <c r="C22" i="4"/>
  <c r="F27" i="2"/>
  <c r="F19" i="2"/>
  <c r="J20" i="3" l="1"/>
  <c r="G11" i="4"/>
  <c r="G12" i="4" s="1"/>
  <c r="I11" i="4"/>
  <c r="I12" i="4" s="1"/>
  <c r="H11" i="4"/>
  <c r="H12" i="4" s="1"/>
  <c r="F11" i="4"/>
  <c r="F12" i="4" s="1"/>
  <c r="J8" i="4"/>
  <c r="F28" i="2"/>
  <c r="F32" i="2"/>
  <c r="I22" i="4"/>
  <c r="H22" i="4"/>
  <c r="D22" i="4"/>
  <c r="C27" i="4"/>
  <c r="E27" i="4"/>
  <c r="D27" i="4"/>
  <c r="F21" i="2"/>
  <c r="F20" i="2"/>
  <c r="F14" i="2"/>
  <c r="J15" i="3"/>
  <c r="D33" i="1"/>
  <c r="F33" i="1"/>
  <c r="J10" i="3"/>
  <c r="E33" i="1"/>
  <c r="G33" i="1"/>
  <c r="H33" i="1"/>
  <c r="G22" i="4"/>
  <c r="J12" i="4" l="1"/>
  <c r="F22" i="2"/>
  <c r="I31" i="1"/>
  <c r="I33" i="1"/>
  <c r="H31" i="1"/>
  <c r="F31" i="1"/>
  <c r="D36" i="2"/>
  <c r="E7" i="1" s="1"/>
  <c r="I17" i="4"/>
  <c r="H17" i="4"/>
  <c r="F15" i="2"/>
  <c r="F16" i="2" s="1"/>
  <c r="C17" i="4"/>
  <c r="I27" i="4"/>
  <c r="H27" i="4"/>
  <c r="G27" i="4"/>
  <c r="F27" i="4"/>
  <c r="D31" i="1"/>
  <c r="E31" i="1"/>
  <c r="J27" i="4" l="1"/>
  <c r="E36" i="2"/>
  <c r="H10" i="1"/>
  <c r="H19" i="1"/>
  <c r="F17" i="1"/>
  <c r="G18" i="1"/>
  <c r="G9" i="1"/>
  <c r="F8" i="1"/>
  <c r="E16" i="1"/>
  <c r="J22" i="1"/>
  <c r="J21" i="1"/>
  <c r="J27" i="3"/>
  <c r="F35" i="2"/>
  <c r="F34" i="2"/>
  <c r="E26" i="1" l="1"/>
  <c r="G28" i="1"/>
  <c r="C31" i="1"/>
  <c r="J22" i="4"/>
  <c r="H29" i="1"/>
  <c r="F27" i="1"/>
  <c r="I19" i="1"/>
  <c r="I23" i="1" s="1"/>
  <c r="G17" i="1"/>
  <c r="I10" i="1"/>
  <c r="I13" i="1" s="1"/>
  <c r="G8" i="1"/>
  <c r="H18" i="1"/>
  <c r="H23" i="1" s="1"/>
  <c r="H9" i="1"/>
  <c r="H13" i="1" s="1"/>
  <c r="F7" i="1"/>
  <c r="F16" i="1"/>
  <c r="C33" i="1"/>
  <c r="J33" i="1" s="1"/>
  <c r="J12" i="1"/>
  <c r="E17" i="4" l="1"/>
  <c r="F17" i="4"/>
  <c r="D17" i="4"/>
  <c r="G17" i="4"/>
  <c r="G27" i="1"/>
  <c r="B36" i="2"/>
  <c r="C7" i="1" s="1"/>
  <c r="C13" i="1" s="1"/>
  <c r="F26" i="1"/>
  <c r="I29" i="1"/>
  <c r="H28" i="1"/>
  <c r="H32" i="1" s="1"/>
  <c r="H34" i="1" s="1"/>
  <c r="G31" i="1"/>
  <c r="J31" i="1" s="1"/>
  <c r="I32" i="1" l="1"/>
  <c r="J17" i="4"/>
  <c r="J29" i="4" s="1"/>
  <c r="C16" i="1"/>
  <c r="C23" i="1" s="1"/>
  <c r="F10" i="1"/>
  <c r="F19" i="1"/>
  <c r="D17" i="1"/>
  <c r="D8" i="1"/>
  <c r="E9" i="1"/>
  <c r="E18" i="1"/>
  <c r="F33" i="2"/>
  <c r="C36" i="2"/>
  <c r="I34" i="1" l="1"/>
  <c r="D27" i="1"/>
  <c r="E28" i="1"/>
  <c r="F29" i="1"/>
  <c r="C26" i="1"/>
  <c r="D7" i="1"/>
  <c r="F18" i="1"/>
  <c r="F9" i="1"/>
  <c r="D16" i="1"/>
  <c r="E17" i="1"/>
  <c r="F36" i="2"/>
  <c r="G19" i="1"/>
  <c r="E8" i="1"/>
  <c r="G10" i="1"/>
  <c r="J18" i="1" l="1"/>
  <c r="F23" i="1"/>
  <c r="J17" i="1"/>
  <c r="E23" i="1"/>
  <c r="J19" i="1"/>
  <c r="G23" i="1"/>
  <c r="J16" i="1"/>
  <c r="J23" i="1" s="1"/>
  <c r="D23" i="1"/>
  <c r="J10" i="1"/>
  <c r="G13" i="1"/>
  <c r="J9" i="1"/>
  <c r="F13" i="1"/>
  <c r="J8" i="1"/>
  <c r="E13" i="1"/>
  <c r="J7" i="1"/>
  <c r="J13" i="1" s="1"/>
  <c r="D13" i="1"/>
  <c r="C32" i="1"/>
  <c r="C34" i="1" s="1"/>
  <c r="F28" i="1"/>
  <c r="J28" i="1" s="1"/>
  <c r="E27" i="1"/>
  <c r="J27" i="1" s="1"/>
  <c r="G29" i="1"/>
  <c r="J29" i="1" s="1"/>
  <c r="D26" i="1"/>
  <c r="J26" i="1" s="1"/>
  <c r="E32" i="1" l="1"/>
  <c r="E34" i="1" s="1"/>
  <c r="D32" i="1"/>
  <c r="G32" i="1"/>
  <c r="G34" i="1" s="1"/>
  <c r="F32" i="1"/>
  <c r="F34" i="1" s="1"/>
  <c r="J32" i="1" l="1"/>
  <c r="D34" i="1"/>
  <c r="J34" i="1" s="1"/>
</calcChain>
</file>

<file path=xl/sharedStrings.xml><?xml version="1.0" encoding="utf-8"?>
<sst xmlns="http://schemas.openxmlformats.org/spreadsheetml/2006/main" count="362" uniqueCount="62">
  <si>
    <t>Year 1</t>
  </si>
  <si>
    <t>Year 2</t>
  </si>
  <si>
    <t>Year 3</t>
  </si>
  <si>
    <t>Year 4</t>
  </si>
  <si>
    <t>Stipend</t>
  </si>
  <si>
    <t>Fees</t>
  </si>
  <si>
    <t>Staff Costs</t>
  </si>
  <si>
    <t>Equipment Costs</t>
  </si>
  <si>
    <t>Materials Costs</t>
  </si>
  <si>
    <t>Training Costs</t>
  </si>
  <si>
    <t>Travel Costs</t>
  </si>
  <si>
    <t>Total</t>
  </si>
  <si>
    <t>Total Costs</t>
  </si>
  <si>
    <t>Year 5</t>
  </si>
  <si>
    <t>Year 6</t>
  </si>
  <si>
    <t>Year 7</t>
  </si>
  <si>
    <t>Student Cohort 1</t>
  </si>
  <si>
    <t>Student Cohort 2</t>
  </si>
  <si>
    <t>Student Cohort 3</t>
  </si>
  <si>
    <t>Student Cohort 4</t>
  </si>
  <si>
    <t xml:space="preserve">Operational Costs </t>
  </si>
  <si>
    <t>Number of additionally leveraged students</t>
  </si>
  <si>
    <t>Total Number of students in cohort</t>
  </si>
  <si>
    <t>Number of SFI funded students per cohort</t>
  </si>
  <si>
    <t>Programme Manager</t>
  </si>
  <si>
    <t>Operational Costs</t>
  </si>
  <si>
    <t>SFI Requested Budget</t>
  </si>
  <si>
    <t>Additional leverage</t>
  </si>
  <si>
    <t>Operational Costs (in-kind)</t>
  </si>
  <si>
    <t>Operational Costs (cash)</t>
  </si>
  <si>
    <t>CRT Total Budget</t>
  </si>
  <si>
    <t>Total Budget (cash)</t>
  </si>
  <si>
    <t>Total Budget (cash+in-kind)</t>
  </si>
  <si>
    <t>Student Stipends</t>
  </si>
  <si>
    <t>Student Fees</t>
  </si>
  <si>
    <t>Laptop/Desktop</t>
  </si>
  <si>
    <t>Materials and Consumables</t>
  </si>
  <si>
    <t>Training (incl. Placements)</t>
  </si>
  <si>
    <t>Student Training Costs</t>
  </si>
  <si>
    <t>Operational Training Costs</t>
  </si>
  <si>
    <t>Student Materials and Consumables</t>
  </si>
  <si>
    <t>Student Travel Costs</t>
  </si>
  <si>
    <t>Operational Travel Costs</t>
  </si>
  <si>
    <t>Travel</t>
  </si>
  <si>
    <t>To be entered into Sesame budget sheet as displayed below</t>
  </si>
  <si>
    <t>SFI Total Requested Budget</t>
  </si>
  <si>
    <t>SFI Contribution to Operational Budget</t>
  </si>
  <si>
    <t>0-6 months</t>
  </si>
  <si>
    <t>Year 8</t>
  </si>
  <si>
    <t>Partner Organisation Cash Contribution to Operational Budget</t>
  </si>
  <si>
    <t>Partner Organisation In-Kind Contribution to Operational Budget</t>
  </si>
  <si>
    <t>COSTS FOR ONE STUDENT ENROLLED IN SFI CENTRE FOR RESEARCH TRAINING</t>
  </si>
  <si>
    <t>The following outlines the steps to complete the budget template and submit to Sesame</t>
  </si>
  <si>
    <t>STEP 1: COMPLETE MANDATORY SECTIONS OF TEMPLATE</t>
  </si>
  <si>
    <t xml:space="preserve">The following sections of the budget template must be saved as PDF and uploaded to Sesame as part of the proposal document:
1. Student Costs
2. SFI Operational Costs
3. Partner Contributions to Operational Costs (if applicable)
4. Summary Budget
</t>
  </si>
  <si>
    <t>STEP 4: UPLOAD EXCEL SPREADSHEET TO SESAME</t>
  </si>
  <si>
    <t>The completed budget template must be uploaded to Sesame in the field "Budget Template"</t>
  </si>
  <si>
    <t>STEP 2: INCLUDE PDF OF MANDATORY SECTIONS IN PROPOSAL DOCUMENT</t>
  </si>
  <si>
    <t>STEP 3: ENTER SUMMARY BUDGET INTO SESAME FORM</t>
  </si>
  <si>
    <t>Guidance for Completing SFI Centres for Research Training Budget Template</t>
  </si>
  <si>
    <r>
      <t xml:space="preserve">The figures from the SFI Summary Sheet for Sesame, calculated from the information on each individual sheet, should be entered into the budget form in Sesame. </t>
    </r>
    <r>
      <rPr>
        <i/>
        <sz val="11"/>
        <color theme="1"/>
        <rFont val="Calibri"/>
        <family val="2"/>
        <scheme val="minor"/>
      </rPr>
      <t xml:space="preserve">
If any additional lines are added into the various spreadsheets please ensure that the totals on this summary sheet are being calculated correctly. 
</t>
    </r>
  </si>
  <si>
    <r>
      <t xml:space="preserve">Applicants </t>
    </r>
    <r>
      <rPr>
        <b/>
        <sz val="11"/>
        <color theme="1"/>
        <rFont val="Calibri"/>
        <family val="2"/>
        <scheme val="minor"/>
      </rPr>
      <t>must</t>
    </r>
    <r>
      <rPr>
        <sz val="11"/>
        <color theme="1"/>
        <rFont val="Calibri"/>
        <family val="2"/>
        <scheme val="minor"/>
      </rPr>
      <t xml:space="preserve"> complete the following sections of the budget template:
1. Student Costs
2. SFI Operational Costs
3. Header of Summary Budget (only numbers of students)
Applicants may complete the sheet Partner Operational Costs, if Partner Organisations are making cash or in-kind contributions to the operational budget of the Centres for Research Training.
</t>
    </r>
    <r>
      <rPr>
        <b/>
        <i/>
        <sz val="11"/>
        <color theme="1"/>
        <rFont val="Calibri"/>
        <family val="2"/>
        <scheme val="minor"/>
      </rPr>
      <t>Applicants should note the following when completing this template:
- Only fields in white should be changed by the applicant.
- Applicants should be as specific as possible when completing the budget template and should add rows as necessary</t>
    </r>
    <r>
      <rPr>
        <sz val="11"/>
        <color theme="1"/>
        <rFont val="Calibri"/>
        <family val="2"/>
        <scheme val="minor"/>
      </rPr>
      <t xml:space="preserve">
</t>
    </r>
    <r>
      <rPr>
        <b/>
        <i/>
        <sz val="11"/>
        <color theme="1"/>
        <rFont val="Calibri"/>
        <family val="2"/>
        <scheme val="minor"/>
      </rPr>
      <t xml:space="preserve">- Applicants are responsible to check that the total costs calculated in the summary budget and summary sheet for Sesame are correctly calculated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</si>
</sst>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
      <b/>
      <sz val="14"/>
      <color theme="1"/>
      <name val="Calibri"/>
      <family val="2"/>
      <scheme val="minor"/>
    </font>
    <font>
      <sz val="14"/>
      <color theme="1"/>
      <name val="Calibri"/>
      <family val="2"/>
      <scheme val="minor"/>
    </font>
    <font>
      <b/>
      <i/>
      <sz val="14"/>
      <color theme="1"/>
      <name val="Calibri"/>
      <family val="2"/>
      <scheme val="minor"/>
    </font>
    <font>
      <b/>
      <u/>
      <sz val="16"/>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2" fillId="0" borderId="0" xfId="0" applyFont="1"/>
    <xf numFmtId="0" fontId="3" fillId="0" borderId="0" xfId="0" applyFont="1"/>
    <xf numFmtId="164" fontId="0" fillId="0" borderId="0" xfId="1" applyNumberFormat="1" applyFont="1"/>
    <xf numFmtId="164" fontId="2" fillId="0" borderId="0" xfId="1" applyNumberFormat="1" applyFont="1"/>
    <xf numFmtId="0" fontId="2" fillId="2" borderId="0" xfId="0" applyFont="1" applyFill="1"/>
    <xf numFmtId="164" fontId="2" fillId="2" borderId="0" xfId="0" applyNumberFormat="1" applyFont="1" applyFill="1"/>
    <xf numFmtId="0" fontId="3" fillId="0" borderId="0" xfId="0" applyFont="1" applyAlignment="1">
      <alignment wrapText="1"/>
    </xf>
    <xf numFmtId="0" fontId="4" fillId="0" borderId="0" xfId="0" applyFont="1" applyAlignment="1">
      <alignment wrapText="1"/>
    </xf>
    <xf numFmtId="164" fontId="0" fillId="0" borderId="0" xfId="0" applyNumberFormat="1"/>
    <xf numFmtId="0" fontId="5" fillId="0" borderId="0" xfId="0" applyFont="1" applyAlignment="1">
      <alignment horizontal="center" wrapText="1"/>
    </xf>
    <xf numFmtId="0" fontId="0" fillId="0" borderId="0" xfId="0" applyAlignment="1">
      <alignment wrapText="1"/>
    </xf>
    <xf numFmtId="0" fontId="2" fillId="0" borderId="2" xfId="0" applyFont="1" applyBorder="1"/>
    <xf numFmtId="0" fontId="0" fillId="0" borderId="3" xfId="0" applyBorder="1"/>
    <xf numFmtId="0" fontId="0" fillId="0" borderId="4" xfId="0" applyBorder="1"/>
    <xf numFmtId="0" fontId="0" fillId="4" borderId="5" xfId="0" applyFill="1" applyBorder="1"/>
    <xf numFmtId="164" fontId="0" fillId="4" borderId="1" xfId="1" applyNumberFormat="1" applyFont="1" applyFill="1" applyBorder="1"/>
    <xf numFmtId="164" fontId="0" fillId="4" borderId="6" xfId="1" applyNumberFormat="1" applyFont="1" applyFill="1" applyBorder="1"/>
    <xf numFmtId="0" fontId="2" fillId="0" borderId="7" xfId="0" applyFont="1" applyBorder="1"/>
    <xf numFmtId="164" fontId="2" fillId="0" borderId="8" xfId="1" applyNumberFormat="1" applyFont="1" applyBorder="1"/>
    <xf numFmtId="164" fontId="2" fillId="0" borderId="9" xfId="1" applyNumberFormat="1" applyFont="1" applyBorder="1"/>
    <xf numFmtId="0" fontId="0" fillId="0" borderId="1" xfId="0" applyBorder="1"/>
    <xf numFmtId="0" fontId="0" fillId="0" borderId="7" xfId="0" applyBorder="1"/>
    <xf numFmtId="0" fontId="0" fillId="0" borderId="11" xfId="0" applyBorder="1"/>
    <xf numFmtId="0" fontId="0" fillId="0" borderId="2" xfId="0" applyBorder="1"/>
    <xf numFmtId="0" fontId="0" fillId="0" borderId="5" xfId="0" applyBorder="1"/>
    <xf numFmtId="164" fontId="0" fillId="0" borderId="1" xfId="1" applyNumberFormat="1" applyFont="1" applyBorder="1"/>
    <xf numFmtId="164" fontId="0" fillId="0" borderId="6" xfId="1" applyNumberFormat="1" applyFont="1" applyBorder="1"/>
    <xf numFmtId="0" fontId="2" fillId="0" borderId="5" xfId="0" applyFont="1" applyBorder="1"/>
    <xf numFmtId="0" fontId="2" fillId="4" borderId="5" xfId="0" applyFont="1" applyFill="1" applyBorder="1"/>
    <xf numFmtId="164" fontId="0" fillId="0" borderId="10" xfId="0" applyNumberFormat="1" applyBorder="1"/>
    <xf numFmtId="164" fontId="0" fillId="0" borderId="9" xfId="0" applyNumberFormat="1" applyBorder="1"/>
    <xf numFmtId="0" fontId="0" fillId="0" borderId="0" xfId="0" applyBorder="1"/>
    <xf numFmtId="164" fontId="0" fillId="0" borderId="8" xfId="0" applyNumberFormat="1" applyBorder="1"/>
    <xf numFmtId="0" fontId="2" fillId="3" borderId="1" xfId="0" applyFont="1" applyFill="1" applyBorder="1" applyAlignment="1">
      <alignment wrapText="1"/>
    </xf>
    <xf numFmtId="0" fontId="2" fillId="3" borderId="1" xfId="0" applyFont="1" applyFill="1" applyBorder="1"/>
    <xf numFmtId="0" fontId="0" fillId="4" borderId="1" xfId="0" applyFill="1" applyBorder="1"/>
    <xf numFmtId="0" fontId="0" fillId="5" borderId="5" xfId="0" applyFill="1" applyBorder="1"/>
    <xf numFmtId="164" fontId="0" fillId="5" borderId="1" xfId="1" applyNumberFormat="1" applyFont="1" applyFill="1" applyBorder="1"/>
    <xf numFmtId="164" fontId="0" fillId="5" borderId="6" xfId="1" applyNumberFormat="1" applyFont="1" applyFill="1" applyBorder="1"/>
    <xf numFmtId="0" fontId="2" fillId="0" borderId="3" xfId="0" applyFont="1" applyBorder="1"/>
    <xf numFmtId="0" fontId="0" fillId="0" borderId="8" xfId="0" applyBorder="1"/>
    <xf numFmtId="164" fontId="2" fillId="0" borderId="1" xfId="1" applyNumberFormat="1" applyFont="1" applyBorder="1"/>
    <xf numFmtId="0" fontId="6" fillId="0" borderId="0" xfId="0" applyFont="1"/>
    <xf numFmtId="164" fontId="0" fillId="0" borderId="12" xfId="0" applyNumberFormat="1" applyBorder="1"/>
    <xf numFmtId="164" fontId="2" fillId="0" borderId="6" xfId="1" applyNumberFormat="1" applyFont="1" applyBorder="1"/>
    <xf numFmtId="164" fontId="2" fillId="2" borderId="0" xfId="1" applyNumberFormat="1" applyFont="1" applyFill="1"/>
    <xf numFmtId="0" fontId="8" fillId="0" borderId="0" xfId="0" applyFont="1" applyAlignment="1">
      <alignment wrapText="1"/>
    </xf>
    <xf numFmtId="0" fontId="7" fillId="0" borderId="0" xfId="0" applyFont="1"/>
    <xf numFmtId="0" fontId="9" fillId="0" borderId="0" xfId="0" applyFont="1" applyAlignment="1">
      <alignment vertical="center" wrapText="1"/>
    </xf>
    <xf numFmtId="0" fontId="6" fillId="0" borderId="0" xfId="0" applyFont="1" applyAlignment="1"/>
    <xf numFmtId="0" fontId="7" fillId="0" borderId="0" xfId="0" applyFont="1" applyAlignment="1"/>
    <xf numFmtId="0" fontId="2" fillId="0" borderId="0" xfId="0" applyFont="1" applyAlignment="1">
      <alignment horizontal="left"/>
    </xf>
    <xf numFmtId="0" fontId="0" fillId="0" borderId="0" xfId="0" applyAlignment="1">
      <alignment horizontal="left"/>
    </xf>
    <xf numFmtId="0" fontId="2" fillId="0" borderId="0" xfId="0" applyFont="1" applyAlignment="1"/>
    <xf numFmtId="0" fontId="0" fillId="0" borderId="0" xfId="0" applyAlignment="1"/>
  </cellXfs>
  <cellStyles count="2">
    <cellStyle name="Currency" xfId="1" builtinId="4"/>
    <cellStyle name="Normal" xfId="0" builtinId="0"/>
  </cellStyles>
  <dxfs count="614">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border diagonalUp="0" diagonalDown="0" outline="0">
        <left/>
        <right style="thin">
          <color indexed="64"/>
        </right>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numFmt numFmtId="164" formatCode="_-&quot;€&quot;* #,##0_-;\-&quot;€&quot;* #,##0_-;_-&quot;€&quot;* &quot;-&quot;??_-;_-@_-"/>
      <border diagonalUp="0" diagonalDown="0" outline="0">
        <left style="thin">
          <color indexed="64"/>
        </left>
        <right style="thin">
          <color indexed="64"/>
        </right>
        <top/>
        <bottom/>
      </border>
    </dxf>
    <dxf>
      <border diagonalUp="0" diagonalDown="0" outline="0">
        <left/>
        <right style="thin">
          <color indexed="64"/>
        </right>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border>
    </dxf>
    <dxf>
      <border diagonalUp="0" diagonalDown="0" outline="0">
        <left/>
        <right style="thin">
          <color indexed="64"/>
        </right>
        <top style="thin">
          <color indexed="64"/>
        </top>
        <bottom/>
      </border>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rgb="FF000000"/>
        </left>
        <right style="thin">
          <color rgb="FF000000"/>
        </right>
        <vertical style="thin">
          <color rgb="FF000000"/>
        </vertical>
      </border>
    </dxf>
    <dxf>
      <border diagonalUp="0" diagonalDown="0">
        <left style="medium">
          <color rgb="FF000000"/>
        </left>
        <right style="medium">
          <color rgb="FF000000"/>
        </right>
        <top style="medium">
          <color rgb="FF000000"/>
        </top>
        <bottom style="medium">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rgb="FF000000"/>
        </left>
        <right style="thin">
          <color rgb="FF000000"/>
        </right>
        <vertical style="thin">
          <color rgb="FF000000"/>
        </vertical>
      </border>
    </dxf>
    <dxf>
      <border diagonalUp="0" diagonalDown="0">
        <left style="medium">
          <color rgb="FF000000"/>
        </left>
        <right style="medium">
          <color rgb="FF000000"/>
        </right>
        <top style="medium">
          <color rgb="FF000000"/>
        </top>
        <bottom style="medium">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fill>
        <patternFill patternType="solid">
          <fgColor rgb="FF000000"/>
          <bgColor rgb="FFFFFFFF"/>
        </patternFill>
      </fill>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bottom/>
        <vertical style="thin">
          <color rgb="FF000000"/>
        </vertical>
        <horizontal style="thin">
          <color rgb="FF000000"/>
        </horizontal>
      </border>
    </dxf>
    <dxf>
      <border diagonalUp="0" diagonalDown="0">
        <left style="medium">
          <color rgb="FF000000"/>
        </left>
        <right style="medium">
          <color rgb="FF000000"/>
        </right>
        <top style="medium">
          <color rgb="FF000000"/>
        </top>
        <bottom style="medium">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vertical style="thin">
          <color indexed="64"/>
        </vertical>
      </border>
    </dxf>
    <dxf>
      <border diagonalUp="0" diagonalDown="0">
        <left style="medium">
          <color indexed="64"/>
        </left>
        <right style="medium">
          <color indexed="64"/>
        </right>
        <top style="medium">
          <color indexed="64"/>
        </top>
        <bottom style="medium">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numFmt numFmtId="164" formatCode="_-&quot;€&quot;* #,##0_-;\-&quot;€&quot;* #,##0_-;_-&quot;€&quot;* &quot;-&quot;??_-;_-@_-"/>
    </dxf>
    <dxf>
      <border diagonalUp="0" diagonalDown="0">
        <left style="thin">
          <color indexed="64"/>
        </left>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0" formatCode="General"/>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outline="0">
        <left style="thin">
          <color indexed="64"/>
        </left>
        <right/>
        <top style="thin">
          <color indexed="64"/>
        </top>
        <bottom/>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outline="0">
        <left style="thin">
          <color indexed="64"/>
        </left>
        <right style="thin">
          <color indexed="64"/>
        </right>
        <top style="thin">
          <color indexed="64"/>
        </top>
        <bottom/>
      </border>
    </dxf>
    <dxf>
      <numFmt numFmtId="164" formatCode="_-&quot;€&quot;* #,##0_-;\-&quot;€&quot;* #,##0_-;_-&quot;€&quot;* &quot;-&quot;??_-;_-@_-"/>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64" formatCode="_-&quot;€&quot;* #,##0_-;\-&quot;€&quot;* #,##0_-;_-&quot;€&quot;* &quot;-&quot;??_-;_-@_-"/>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_-&quot;€&quot;* #,##0_-;\-&quot;€&quot;* #,##0_-;_-&quot;€&quot;* &quot;-&quot;??_-;_-@_-"/>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6" totalsRowCount="1" headerRowDxfId="613" totalsRowDxfId="610" headerRowBorderDxfId="612" tableBorderDxfId="611" totalsRowBorderDxfId="609">
  <autoFilter ref="A3:F5" xr:uid="{00000000-0009-0000-0100-000002000000}"/>
  <tableColumns count="6">
    <tableColumn id="1" xr3:uid="{00000000-0010-0000-0000-000001000000}" name="Staff Costs" totalsRowLabel="Total" dataDxfId="608"/>
    <tableColumn id="2" xr3:uid="{00000000-0010-0000-0000-000002000000}" name="Year 1" totalsRowFunction="sum" dataDxfId="607" dataCellStyle="Currency"/>
    <tableColumn id="3" xr3:uid="{00000000-0010-0000-0000-000003000000}" name="Year 2" totalsRowFunction="sum" dataDxfId="606" dataCellStyle="Currency"/>
    <tableColumn id="4" xr3:uid="{00000000-0010-0000-0000-000004000000}" name="Year 3" totalsRowFunction="sum" dataDxfId="605" dataCellStyle="Currency"/>
    <tableColumn id="5" xr3:uid="{00000000-0010-0000-0000-000005000000}" name="Year 4" totalsRowFunction="sum" dataDxfId="604" dataCellStyle="Currency"/>
    <tableColumn id="6" xr3:uid="{00000000-0010-0000-0000-000006000000}" name="Total" totalsRowFunction="sum" dataDxfId="603" dataCellStyle="Currency" totalsRowCellStyle="Currency">
      <calculatedColumnFormula>SUM(Table2[[#This Row],[Year 1]:[Year 4]])</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9000000}" name="Table823" displayName="Table823" ref="A17:J20" totalsRowCount="1" headerRowDxfId="484" dataDxfId="482" totalsRowDxfId="480" headerRowBorderDxfId="483" tableBorderDxfId="481" totalsRowBorderDxfId="479">
  <autoFilter ref="A17:J19" xr:uid="{00000000-0009-0000-0100-000016000000}"/>
  <tableColumns count="10">
    <tableColumn id="1" xr3:uid="{00000000-0010-0000-0900-000001000000}" name="Travel Costs" totalsRowLabel="Total" dataDxfId="478" totalsRowDxfId="138"/>
    <tableColumn id="10" xr3:uid="{00000000-0010-0000-0900-00000A000000}" name="0-6 months" totalsRowFunction="sum" dataDxfId="477" totalsRowDxfId="137"/>
    <tableColumn id="2" xr3:uid="{00000000-0010-0000-0900-000002000000}" name="Year 1" totalsRowFunction="sum" dataDxfId="476" totalsRowDxfId="136" dataCellStyle="Currency">
      <calculatedColumnFormula>SUBTOTAL(109,B17:B17)</calculatedColumnFormula>
    </tableColumn>
    <tableColumn id="3" xr3:uid="{00000000-0010-0000-0900-000003000000}" name="Year 2" totalsRowFunction="sum" dataDxfId="475" totalsRowDxfId="135" dataCellStyle="Currency">
      <calculatedColumnFormula>SUBTOTAL(109,C17:C17)</calculatedColumnFormula>
    </tableColumn>
    <tableColumn id="4" xr3:uid="{00000000-0010-0000-0900-000004000000}" name="Year 3" totalsRowFunction="sum" dataDxfId="474" totalsRowDxfId="134" dataCellStyle="Currency">
      <calculatedColumnFormula>SUBTOTAL(109,D17:D17)</calculatedColumnFormula>
    </tableColumn>
    <tableColumn id="5" xr3:uid="{00000000-0010-0000-0900-000005000000}" name="Year 4" totalsRowFunction="sum" dataDxfId="473" totalsRowDxfId="133" dataCellStyle="Currency">
      <calculatedColumnFormula>SUBTOTAL(109,E17:E17)</calculatedColumnFormula>
    </tableColumn>
    <tableColumn id="7" xr3:uid="{00000000-0010-0000-0900-000007000000}" name="Year 5" totalsRowFunction="sum" dataDxfId="472" totalsRowDxfId="132" dataCellStyle="Currency">
      <calculatedColumnFormula>SUBTOTAL(109,F17:F17)</calculatedColumnFormula>
    </tableColumn>
    <tableColumn id="8" xr3:uid="{00000000-0010-0000-0900-000008000000}" name="Year 6" totalsRowFunction="sum" dataDxfId="471" totalsRowDxfId="131" dataCellStyle="Currency">
      <calculatedColumnFormula>SUBTOTAL(109,G17:G17)</calculatedColumnFormula>
    </tableColumn>
    <tableColumn id="9" xr3:uid="{00000000-0010-0000-0900-000009000000}" name="Year 7" totalsRowFunction="sum" dataDxfId="470" totalsRowDxfId="130" dataCellStyle="Currency">
      <calculatedColumnFormula>SUBTOTAL(109,H17:H17)</calculatedColumnFormula>
    </tableColumn>
    <tableColumn id="6" xr3:uid="{00000000-0010-0000-0900-000006000000}" name="Total" totalsRowFunction="sum" dataDxfId="128" totalsRowDxfId="129" dataCellStyle="Currency">
      <calculatedColumnFormula>SUM(Table823[[#This Row],[0-6 months]:[Year 7]])</calculatedColumnFormula>
    </tableColumn>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A000000}" name="Table924" displayName="Table924" ref="A22:J27" totalsRowCount="1" headerRowDxfId="469" totalsRowDxfId="467" tableBorderDxfId="468">
  <autoFilter ref="A22:J26" xr:uid="{00000000-0009-0000-0100-000017000000}"/>
  <tableColumns count="10">
    <tableColumn id="1" xr3:uid="{00000000-0010-0000-0A00-000001000000}" name="Total Costs" totalsRowLabel="Total" dataDxfId="466" totalsRowDxfId="127"/>
    <tableColumn id="10" xr3:uid="{00000000-0010-0000-0A00-00000A000000}" name="0-6 months" totalsRowFunction="sum" dataDxfId="465" totalsRowDxfId="126"/>
    <tableColumn id="2" xr3:uid="{00000000-0010-0000-0A00-000002000000}" name="Year 1" totalsRowFunction="sum" dataDxfId="464" totalsRowDxfId="125" dataCellStyle="Currency">
      <calculatedColumnFormula>#REF!</calculatedColumnFormula>
    </tableColumn>
    <tableColumn id="3" xr3:uid="{00000000-0010-0000-0A00-000003000000}" name="Year 2" totalsRowFunction="sum" dataDxfId="463" totalsRowDxfId="124" dataCellStyle="Currency"/>
    <tableColumn id="4" xr3:uid="{00000000-0010-0000-0A00-000004000000}" name="Year 3" totalsRowFunction="sum" dataDxfId="462" totalsRowDxfId="123" dataCellStyle="Currency"/>
    <tableColumn id="5" xr3:uid="{00000000-0010-0000-0A00-000005000000}" name="Year 4" totalsRowFunction="sum" dataDxfId="461" totalsRowDxfId="122" dataCellStyle="Currency"/>
    <tableColumn id="7" xr3:uid="{00000000-0010-0000-0A00-000007000000}" name="Year 5" totalsRowFunction="sum" dataDxfId="460" totalsRowDxfId="121" dataCellStyle="Currency"/>
    <tableColumn id="8" xr3:uid="{00000000-0010-0000-0A00-000008000000}" name="Year 6" totalsRowFunction="sum" dataDxfId="459" totalsRowDxfId="120" dataCellStyle="Currency"/>
    <tableColumn id="9" xr3:uid="{00000000-0010-0000-0A00-000009000000}" name="Year 7" totalsRowFunction="sum" dataDxfId="458" totalsRowDxfId="119" dataCellStyle="Currency"/>
    <tableColumn id="6" xr3:uid="{00000000-0010-0000-0A00-000006000000}" name="Total" totalsRowFunction="sum" dataDxfId="117" totalsRowDxfId="118" dataCellStyle="Currency">
      <calculatedColumnFormula>SUM(Table924[[#This Row],[0-6 months]:[Year 7]])</calculatedColumnFormula>
    </tableColumn>
  </tableColumns>
  <tableStyleInfo name="TableStyleMedium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21816" displayName="Table21816" ref="A3:J5" totalsRowCount="1" headerRowDxfId="457" totalsRowDxfId="454" headerRowBorderDxfId="456" tableBorderDxfId="455" totalsRowBorderDxfId="453">
  <autoFilter ref="A3:J4" xr:uid="{00000000-0009-0000-0100-00000F000000}"/>
  <tableColumns count="10">
    <tableColumn id="1" xr3:uid="{00000000-0010-0000-0B00-000001000000}" name="Staff Costs" totalsRowLabel="Total" dataDxfId="452" totalsRowDxfId="116"/>
    <tableColumn id="8" xr3:uid="{00000000-0010-0000-0B00-000008000000}" name="0-6 months" totalsRowFunction="sum" dataDxfId="451" totalsRowDxfId="115"/>
    <tableColumn id="2" xr3:uid="{00000000-0010-0000-0B00-000002000000}" name="Year 1" totalsRowFunction="sum" dataDxfId="450" totalsRowDxfId="114" dataCellStyle="Currency"/>
    <tableColumn id="3" xr3:uid="{00000000-0010-0000-0B00-000003000000}" name="Year 2" totalsRowFunction="sum" dataDxfId="449" totalsRowDxfId="113" dataCellStyle="Currency"/>
    <tableColumn id="4" xr3:uid="{00000000-0010-0000-0B00-000004000000}" name="Year 3" totalsRowFunction="sum" dataDxfId="448" totalsRowDxfId="112" dataCellStyle="Currency"/>
    <tableColumn id="5" xr3:uid="{00000000-0010-0000-0B00-000005000000}" name="Year 4" totalsRowFunction="sum" dataDxfId="447" totalsRowDxfId="111" dataCellStyle="Currency"/>
    <tableColumn id="7" xr3:uid="{00000000-0010-0000-0B00-000007000000}" name="Year 5" totalsRowFunction="sum" dataDxfId="446" totalsRowDxfId="110" dataCellStyle="Currency"/>
    <tableColumn id="9" xr3:uid="{00000000-0010-0000-0B00-000009000000}" name="Year 6" totalsRowFunction="sum" dataDxfId="445" totalsRowDxfId="109" dataCellStyle="Currency"/>
    <tableColumn id="10" xr3:uid="{00000000-0010-0000-0B00-00000A000000}" name="Year 7" totalsRowFunction="sum" dataDxfId="444" totalsRowDxfId="108" dataCellStyle="Currency"/>
    <tableColumn id="6" xr3:uid="{00000000-0010-0000-0B00-000006000000}" name="Total" totalsRowFunction="sum" dataDxfId="443" totalsRowDxfId="107" dataCellStyle="Currency">
      <calculatedColumnFormula>SUM(Table21816[[0-6 months]:[Year 7]])</calculatedColumnFormula>
    </tableColumn>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C000000}" name="Table52017" displayName="Table52017" ref="A7:J10" totalsRowCount="1" headerRowDxfId="442" dataDxfId="440" totalsRowDxfId="438" headerRowBorderDxfId="441" tableBorderDxfId="439" totalsRowBorderDxfId="437">
  <autoFilter ref="A7:J9" xr:uid="{00000000-0009-0000-0100-000010000000}"/>
  <tableColumns count="10">
    <tableColumn id="1" xr3:uid="{00000000-0010-0000-0C00-000001000000}" name="Operational Costs" totalsRowLabel="Total" dataDxfId="436" totalsRowDxfId="106"/>
    <tableColumn id="10" xr3:uid="{00000000-0010-0000-0C00-00000A000000}" name="0-6 months" totalsRowFunction="sum" dataDxfId="435" totalsRowDxfId="105"/>
    <tableColumn id="2" xr3:uid="{00000000-0010-0000-0C00-000002000000}" name="Year 1" totalsRowFunction="sum" dataDxfId="434" totalsRowDxfId="104" dataCellStyle="Currency">
      <calculatedColumnFormula>SUBTOTAL(109,B7:B7)</calculatedColumnFormula>
    </tableColumn>
    <tableColumn id="3" xr3:uid="{00000000-0010-0000-0C00-000003000000}" name="Year 2" totalsRowFunction="sum" dataDxfId="433" totalsRowDxfId="103" dataCellStyle="Currency">
      <calculatedColumnFormula>SUBTOTAL(109,C7:C7)</calculatedColumnFormula>
    </tableColumn>
    <tableColumn id="4" xr3:uid="{00000000-0010-0000-0C00-000004000000}" name="Year 3" totalsRowFunction="sum" dataDxfId="432" totalsRowDxfId="102" dataCellStyle="Currency">
      <calculatedColumnFormula>SUBTOTAL(109,D7:D7)</calculatedColumnFormula>
    </tableColumn>
    <tableColumn id="5" xr3:uid="{00000000-0010-0000-0C00-000005000000}" name="Year 4" totalsRowFunction="sum" dataDxfId="431" totalsRowDxfId="101" dataCellStyle="Currency">
      <calculatedColumnFormula>SUBTOTAL(109,E7:E7)</calculatedColumnFormula>
    </tableColumn>
    <tableColumn id="7" xr3:uid="{00000000-0010-0000-0C00-000007000000}" name="Year 5" totalsRowFunction="sum" dataDxfId="430" totalsRowDxfId="100" dataCellStyle="Currency">
      <calculatedColumnFormula>SUBTOTAL(109,F7:F7)</calculatedColumnFormula>
    </tableColumn>
    <tableColumn id="8" xr3:uid="{00000000-0010-0000-0C00-000008000000}" name="Year 6" totalsRowFunction="sum" dataDxfId="429" totalsRowDxfId="99" dataCellStyle="Currency">
      <calculatedColumnFormula>SUBTOTAL(109,G7:G7)</calculatedColumnFormula>
    </tableColumn>
    <tableColumn id="9" xr3:uid="{00000000-0010-0000-0C00-000009000000}" name="Year 7" totalsRowFunction="sum" dataDxfId="428" totalsRowDxfId="98" dataCellStyle="Currency">
      <calculatedColumnFormula>SUBTOTAL(109,H7:H7)</calculatedColumnFormula>
    </tableColumn>
    <tableColumn id="6" xr3:uid="{00000000-0010-0000-0C00-000006000000}" name="Total" totalsRowFunction="sum" dataDxfId="96" totalsRowDxfId="97" dataCellStyle="Currency">
      <calculatedColumnFormula>SUM(Table52017[[#This Row],[0-6 months]:[Year 7]])</calculatedColumnFormula>
    </tableColum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62119" displayName="Table62119" ref="A12:J15" totalsRowCount="1" headerRowDxfId="427" dataDxfId="425" totalsRowDxfId="423" headerRowBorderDxfId="426" tableBorderDxfId="424" totalsRowBorderDxfId="422">
  <autoFilter ref="A12:J14" xr:uid="{00000000-0009-0000-0100-000012000000}"/>
  <tableColumns count="10">
    <tableColumn id="1" xr3:uid="{00000000-0010-0000-0D00-000001000000}" name="Training Costs" totalsRowLabel="Total" dataDxfId="421" totalsRowDxfId="95"/>
    <tableColumn id="10" xr3:uid="{00000000-0010-0000-0D00-00000A000000}" name="0-6 months" totalsRowFunction="sum" dataDxfId="420" totalsRowDxfId="94"/>
    <tableColumn id="2" xr3:uid="{00000000-0010-0000-0D00-000002000000}" name="Year 1" totalsRowFunction="sum" dataDxfId="419" totalsRowDxfId="93" dataCellStyle="Currency">
      <calculatedColumnFormula>SUBTOTAL(109,B12:B12)</calculatedColumnFormula>
    </tableColumn>
    <tableColumn id="3" xr3:uid="{00000000-0010-0000-0D00-000003000000}" name="Year 2" totalsRowFunction="sum" dataDxfId="418" totalsRowDxfId="92" dataCellStyle="Currency">
      <calculatedColumnFormula>SUBTOTAL(109,C12:C12)</calculatedColumnFormula>
    </tableColumn>
    <tableColumn id="4" xr3:uid="{00000000-0010-0000-0D00-000004000000}" name="Year 3" totalsRowFunction="sum" dataDxfId="417" totalsRowDxfId="91" dataCellStyle="Currency">
      <calculatedColumnFormula>SUBTOTAL(109,D12:D12)</calculatedColumnFormula>
    </tableColumn>
    <tableColumn id="5" xr3:uid="{00000000-0010-0000-0D00-000005000000}" name="Year 4" totalsRowFunction="sum" dataDxfId="416" totalsRowDxfId="90" dataCellStyle="Currency">
      <calculatedColumnFormula>SUBTOTAL(109,E12:E12)</calculatedColumnFormula>
    </tableColumn>
    <tableColumn id="7" xr3:uid="{00000000-0010-0000-0D00-000007000000}" name="Year 5" totalsRowFunction="sum" dataDxfId="415" totalsRowDxfId="89" dataCellStyle="Currency">
      <calculatedColumnFormula>SUBTOTAL(109,F12:F12)</calculatedColumnFormula>
    </tableColumn>
    <tableColumn id="8" xr3:uid="{00000000-0010-0000-0D00-000008000000}" name="Year 6" totalsRowFunction="sum" dataDxfId="414" totalsRowDxfId="88" dataCellStyle="Currency">
      <calculatedColumnFormula>SUBTOTAL(109,G12:G12)</calculatedColumnFormula>
    </tableColumn>
    <tableColumn id="9" xr3:uid="{00000000-0010-0000-0D00-000009000000}" name="Year 7" totalsRowFunction="sum" dataDxfId="413" totalsRowDxfId="87" dataCellStyle="Currency">
      <calculatedColumnFormula>SUBTOTAL(109,H12:H12)</calculatedColumnFormula>
    </tableColumn>
    <tableColumn id="6" xr3:uid="{00000000-0010-0000-0D00-000006000000}" name="Total" totalsRowFunction="sum" dataDxfId="85" totalsRowDxfId="86" dataCellStyle="Currency">
      <calculatedColumnFormula>SUM(Table62119[[#This Row],[0-6 months]:[Year 7]])</calculatedColumnFormula>
    </tableColumn>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E000000}" name="Table82322" displayName="Table82322" ref="A17:J20" totalsRowCount="1" headerRowDxfId="412" dataDxfId="410" totalsRowDxfId="408" headerRowBorderDxfId="411" tableBorderDxfId="409" totalsRowBorderDxfId="407">
  <autoFilter ref="A17:J19" xr:uid="{00000000-0009-0000-0100-000015000000}"/>
  <tableColumns count="10">
    <tableColumn id="1" xr3:uid="{00000000-0010-0000-0E00-000001000000}" name="Travel Costs" totalsRowLabel="Total" dataDxfId="406" totalsRowDxfId="84"/>
    <tableColumn id="10" xr3:uid="{00000000-0010-0000-0E00-00000A000000}" name="0-6 months" totalsRowFunction="sum" dataDxfId="405" totalsRowDxfId="83"/>
    <tableColumn id="2" xr3:uid="{00000000-0010-0000-0E00-000002000000}" name="Year 1" totalsRowFunction="sum" dataDxfId="404" totalsRowDxfId="82" dataCellStyle="Currency">
      <calculatedColumnFormula>SUBTOTAL(109,B17:B17)</calculatedColumnFormula>
    </tableColumn>
    <tableColumn id="3" xr3:uid="{00000000-0010-0000-0E00-000003000000}" name="Year 2" totalsRowFunction="sum" dataDxfId="403" totalsRowDxfId="81" dataCellStyle="Currency">
      <calculatedColumnFormula>SUBTOTAL(109,C17:C17)</calculatedColumnFormula>
    </tableColumn>
    <tableColumn id="4" xr3:uid="{00000000-0010-0000-0E00-000004000000}" name="Year 3" totalsRowFunction="sum" dataDxfId="402" totalsRowDxfId="80" dataCellStyle="Currency">
      <calculatedColumnFormula>SUBTOTAL(109,D17:D17)</calculatedColumnFormula>
    </tableColumn>
    <tableColumn id="5" xr3:uid="{00000000-0010-0000-0E00-000005000000}" name="Year 4" totalsRowFunction="sum" dataDxfId="401" totalsRowDxfId="79" dataCellStyle="Currency">
      <calculatedColumnFormula>SUBTOTAL(109,E17:E17)</calculatedColumnFormula>
    </tableColumn>
    <tableColumn id="7" xr3:uid="{00000000-0010-0000-0E00-000007000000}" name="Year 5" totalsRowFunction="sum" dataDxfId="400" totalsRowDxfId="78" dataCellStyle="Currency">
      <calculatedColumnFormula>SUBTOTAL(109,F17:F17)</calculatedColumnFormula>
    </tableColumn>
    <tableColumn id="8" xr3:uid="{00000000-0010-0000-0E00-000008000000}" name="Year 6" totalsRowFunction="sum" dataDxfId="399" totalsRowDxfId="77" dataCellStyle="Currency">
      <calculatedColumnFormula>SUBTOTAL(109,G17:G17)</calculatedColumnFormula>
    </tableColumn>
    <tableColumn id="9" xr3:uid="{00000000-0010-0000-0E00-000009000000}" name="Year 7" totalsRowFunction="sum" dataDxfId="398" totalsRowDxfId="76" dataCellStyle="Currency">
      <calculatedColumnFormula>SUBTOTAL(109,H17:H17)</calculatedColumnFormula>
    </tableColumn>
    <tableColumn id="6" xr3:uid="{00000000-0010-0000-0E00-000006000000}" name="Total" totalsRowFunction="sum" dataDxfId="74" totalsRowDxfId="75" dataCellStyle="Currency">
      <calculatedColumnFormula>SUM(Table82322[[#This Row],[0-6 months]:[Year 7]])</calculatedColumnFormula>
    </tableColumn>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F000000}" name="Table92425" displayName="Table92425" ref="A22:J27" totalsRowCount="1" headerRowDxfId="397" totalsRowDxfId="395" tableBorderDxfId="396">
  <autoFilter ref="A22:J26" xr:uid="{00000000-0009-0000-0100-000018000000}"/>
  <tableColumns count="10">
    <tableColumn id="1" xr3:uid="{00000000-0010-0000-0F00-000001000000}" name="Total Costs" totalsRowLabel="Total" dataDxfId="73" totalsRowDxfId="64"/>
    <tableColumn id="10" xr3:uid="{00000000-0010-0000-0F00-00000A000000}" name="0-6 months" totalsRowFunction="sum" dataDxfId="72" totalsRowDxfId="63"/>
    <tableColumn id="2" xr3:uid="{00000000-0010-0000-0F00-000002000000}" name="Year 1" totalsRowFunction="sum" dataDxfId="71" totalsRowDxfId="62" dataCellStyle="Currency">
      <calculatedColumnFormula>#REF!</calculatedColumnFormula>
    </tableColumn>
    <tableColumn id="3" xr3:uid="{00000000-0010-0000-0F00-000003000000}" name="Year 2" totalsRowFunction="sum" dataDxfId="70" totalsRowDxfId="61" dataCellStyle="Currency"/>
    <tableColumn id="4" xr3:uid="{00000000-0010-0000-0F00-000004000000}" name="Year 3" totalsRowFunction="sum" dataDxfId="69" totalsRowDxfId="60" dataCellStyle="Currency"/>
    <tableColumn id="5" xr3:uid="{00000000-0010-0000-0F00-000005000000}" name="Year 4" totalsRowFunction="sum" dataDxfId="68" totalsRowDxfId="59" dataCellStyle="Currency"/>
    <tableColumn id="7" xr3:uid="{00000000-0010-0000-0F00-000007000000}" name="Year 5" totalsRowFunction="sum" dataDxfId="67" totalsRowDxfId="58" dataCellStyle="Currency"/>
    <tableColumn id="8" xr3:uid="{00000000-0010-0000-0F00-000008000000}" name="Year 6" totalsRowFunction="sum" dataDxfId="66" totalsRowDxfId="57" dataCellStyle="Currency"/>
    <tableColumn id="9" xr3:uid="{00000000-0010-0000-0F00-000009000000}" name="Year 7" totalsRowFunction="sum" dataDxfId="65" totalsRowDxfId="56" dataCellStyle="Currency"/>
    <tableColumn id="6" xr3:uid="{00000000-0010-0000-0F00-000006000000}" name="Total" totalsRowFunction="sum" dataDxfId="54" totalsRowDxfId="55" dataCellStyle="Currency">
      <calculatedColumnFormula>SUM(Table92425[[#This Row],[0-6 months]:[Year 7]])</calculatedColumnFormula>
    </tableColumn>
  </tableColumns>
  <tableStyleInfo name="TableStyleMedium8"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0000000}" name="Table2181626" displayName="Table2181626" ref="A31:J33" totalsRowCount="1" headerRowDxfId="394" totalsRowDxfId="391" headerRowBorderDxfId="393" tableBorderDxfId="392" totalsRowBorderDxfId="390">
  <autoFilter ref="A31:J32" xr:uid="{00000000-0009-0000-0100-000019000000}"/>
  <tableColumns count="10">
    <tableColumn id="1" xr3:uid="{00000000-0010-0000-1000-000001000000}" name="Staff Costs" totalsRowLabel="Total" dataDxfId="389" totalsRowDxfId="53"/>
    <tableColumn id="8" xr3:uid="{00000000-0010-0000-1000-000008000000}" name="0-6 months" totalsRowFunction="sum" dataDxfId="388" totalsRowDxfId="52"/>
    <tableColumn id="2" xr3:uid="{00000000-0010-0000-1000-000002000000}" name="Year 1" totalsRowFunction="sum" dataDxfId="387" totalsRowDxfId="51" dataCellStyle="Currency"/>
    <tableColumn id="3" xr3:uid="{00000000-0010-0000-1000-000003000000}" name="Year 2" totalsRowFunction="sum" dataDxfId="386" totalsRowDxfId="50" dataCellStyle="Currency"/>
    <tableColumn id="4" xr3:uid="{00000000-0010-0000-1000-000004000000}" name="Year 3" totalsRowFunction="sum" dataDxfId="385" totalsRowDxfId="49" dataCellStyle="Currency"/>
    <tableColumn id="5" xr3:uid="{00000000-0010-0000-1000-000005000000}" name="Year 4" totalsRowFunction="sum" dataDxfId="384" totalsRowDxfId="48" dataCellStyle="Currency"/>
    <tableColumn id="7" xr3:uid="{00000000-0010-0000-1000-000007000000}" name="Year 5" totalsRowFunction="sum" dataDxfId="383" totalsRowDxfId="47" dataCellStyle="Currency"/>
    <tableColumn id="9" xr3:uid="{00000000-0010-0000-1000-000009000000}" name="Year 6" totalsRowFunction="sum" dataDxfId="382" totalsRowDxfId="46" dataCellStyle="Currency"/>
    <tableColumn id="10" xr3:uid="{00000000-0010-0000-1000-00000A000000}" name="Year 7" totalsRowFunction="sum" dataDxfId="381" totalsRowDxfId="45" dataCellStyle="Currency"/>
    <tableColumn id="6" xr3:uid="{00000000-0010-0000-1000-000006000000}" name="Total" totalsRowFunction="sum" dataDxfId="380" totalsRowDxfId="44" dataCellStyle="Currency">
      <calculatedColumnFormula>SUM(Table2181626[[0-6 months]:[Year 7]])</calculatedColumnFormula>
    </tableColumn>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1000000}" name="Table5201727" displayName="Table5201727" ref="A35:J38" totalsRowCount="1" headerRowDxfId="379" dataDxfId="377" totalsRowDxfId="375" headerRowBorderDxfId="378" tableBorderDxfId="376" totalsRowBorderDxfId="374">
  <autoFilter ref="A35:J37" xr:uid="{00000000-0009-0000-0100-00001A000000}"/>
  <tableColumns count="10">
    <tableColumn id="1" xr3:uid="{00000000-0010-0000-1100-000001000000}" name="Operational Costs" totalsRowLabel="Total" dataDxfId="373" totalsRowDxfId="43"/>
    <tableColumn id="10" xr3:uid="{00000000-0010-0000-1100-00000A000000}" name="0-6 months" totalsRowFunction="sum" dataDxfId="372" totalsRowDxfId="42"/>
    <tableColumn id="2" xr3:uid="{00000000-0010-0000-1100-000002000000}" name="Year 1" totalsRowFunction="sum" dataDxfId="371" totalsRowDxfId="41" dataCellStyle="Currency">
      <calculatedColumnFormula>SUBTOTAL(109,B35:B35)</calculatedColumnFormula>
    </tableColumn>
    <tableColumn id="3" xr3:uid="{00000000-0010-0000-1100-000003000000}" name="Year 2" totalsRowFunction="sum" dataDxfId="370" totalsRowDxfId="40" dataCellStyle="Currency">
      <calculatedColumnFormula>SUBTOTAL(109,C35:C35)</calculatedColumnFormula>
    </tableColumn>
    <tableColumn id="4" xr3:uid="{00000000-0010-0000-1100-000004000000}" name="Year 3" totalsRowFunction="sum" dataDxfId="369" totalsRowDxfId="39" dataCellStyle="Currency">
      <calculatedColumnFormula>SUBTOTAL(109,D35:D35)</calculatedColumnFormula>
    </tableColumn>
    <tableColumn id="5" xr3:uid="{00000000-0010-0000-1100-000005000000}" name="Year 4" totalsRowFunction="sum" dataDxfId="368" totalsRowDxfId="38" dataCellStyle="Currency">
      <calculatedColumnFormula>SUBTOTAL(109,E35:E35)</calculatedColumnFormula>
    </tableColumn>
    <tableColumn id="7" xr3:uid="{00000000-0010-0000-1100-000007000000}" name="Year 5" totalsRowFunction="sum" dataDxfId="367" totalsRowDxfId="37" dataCellStyle="Currency">
      <calculatedColumnFormula>SUBTOTAL(109,F35:F35)</calculatedColumnFormula>
    </tableColumn>
    <tableColumn id="8" xr3:uid="{00000000-0010-0000-1100-000008000000}" name="Year 6" totalsRowFunction="sum" dataDxfId="366" totalsRowDxfId="36" dataCellStyle="Currency">
      <calculatedColumnFormula>SUBTOTAL(109,G35:G35)</calculatedColumnFormula>
    </tableColumn>
    <tableColumn id="9" xr3:uid="{00000000-0010-0000-1100-000009000000}" name="Year 7" totalsRowFunction="sum" dataDxfId="365" totalsRowDxfId="35" dataCellStyle="Currency">
      <calculatedColumnFormula>SUBTOTAL(109,H35:H35)</calculatedColumnFormula>
    </tableColumn>
    <tableColumn id="6" xr3:uid="{00000000-0010-0000-1100-000006000000}" name="Total" totalsRowFunction="sum" dataDxfId="33" totalsRowDxfId="34" dataCellStyle="Currency">
      <calculatedColumnFormula>SUM(Table5201727[[#This Row],[0-6 months]:[Year 7]])</calculatedColumnFormula>
    </tableColumn>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2000000}" name="Table6211928" displayName="Table6211928" ref="A40:J43" totalsRowCount="1" headerRowDxfId="364" dataDxfId="362" totalsRowDxfId="360" headerRowBorderDxfId="363" tableBorderDxfId="361" totalsRowBorderDxfId="359">
  <autoFilter ref="A40:J42" xr:uid="{00000000-0009-0000-0100-00001B000000}"/>
  <tableColumns count="10">
    <tableColumn id="1" xr3:uid="{00000000-0010-0000-1200-000001000000}" name="Training Costs" totalsRowLabel="Total" dataDxfId="358" totalsRowDxfId="32"/>
    <tableColumn id="10" xr3:uid="{00000000-0010-0000-1200-00000A000000}" name="0-6 months" totalsRowFunction="sum" dataDxfId="357" totalsRowDxfId="31"/>
    <tableColumn id="2" xr3:uid="{00000000-0010-0000-1200-000002000000}" name="Year 1" totalsRowFunction="sum" dataDxfId="356" totalsRowDxfId="30" dataCellStyle="Currency">
      <calculatedColumnFormula>SUBTOTAL(109,B40:B40)</calculatedColumnFormula>
    </tableColumn>
    <tableColumn id="3" xr3:uid="{00000000-0010-0000-1200-000003000000}" name="Year 2" totalsRowFunction="sum" dataDxfId="355" totalsRowDxfId="29" dataCellStyle="Currency">
      <calculatedColumnFormula>SUBTOTAL(109,C40:C40)</calculatedColumnFormula>
    </tableColumn>
    <tableColumn id="4" xr3:uid="{00000000-0010-0000-1200-000004000000}" name="Year 3" totalsRowFunction="sum" dataDxfId="354" totalsRowDxfId="28" dataCellStyle="Currency">
      <calculatedColumnFormula>SUBTOTAL(109,D40:D40)</calculatedColumnFormula>
    </tableColumn>
    <tableColumn id="5" xr3:uid="{00000000-0010-0000-1200-000005000000}" name="Year 4" totalsRowFunction="sum" dataDxfId="353" totalsRowDxfId="27" dataCellStyle="Currency">
      <calculatedColumnFormula>SUBTOTAL(109,E40:E40)</calculatedColumnFormula>
    </tableColumn>
    <tableColumn id="7" xr3:uid="{00000000-0010-0000-1200-000007000000}" name="Year 5" totalsRowFunction="sum" dataDxfId="352" totalsRowDxfId="26" dataCellStyle="Currency">
      <calculatedColumnFormula>SUBTOTAL(109,F40:F40)</calculatedColumnFormula>
    </tableColumn>
    <tableColumn id="8" xr3:uid="{00000000-0010-0000-1200-000008000000}" name="Year 6" totalsRowFunction="sum" dataDxfId="351" totalsRowDxfId="25" dataCellStyle="Currency">
      <calculatedColumnFormula>SUBTOTAL(109,G40:G40)</calculatedColumnFormula>
    </tableColumn>
    <tableColumn id="9" xr3:uid="{00000000-0010-0000-1200-000009000000}" name="Year 7" totalsRowFunction="sum" dataDxfId="350" totalsRowDxfId="24" dataCellStyle="Currency">
      <calculatedColumnFormula>SUBTOTAL(109,H40:H40)</calculatedColumnFormula>
    </tableColumn>
    <tableColumn id="6" xr3:uid="{00000000-0010-0000-1200-000006000000}" name="Total" totalsRowFunction="sum" dataDxfId="22" totalsRowDxfId="23" dataCellStyle="Currency">
      <calculatedColumnFormula>SUM(Table6211928[[#This Row],[0-6 months]:[Year 7]])</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8:F10" totalsRowCount="1" headerRowDxfId="602" totalsRowDxfId="599" headerRowBorderDxfId="601" tableBorderDxfId="600" totalsRowBorderDxfId="598">
  <autoFilter ref="A8:F9" xr:uid="{00000000-0009-0000-0100-000003000000}"/>
  <tableColumns count="6">
    <tableColumn id="1" xr3:uid="{00000000-0010-0000-0100-000001000000}" name="Equipment Costs" totalsRowLabel="Total" dataDxfId="597" totalsRowDxfId="596"/>
    <tableColumn id="2" xr3:uid="{00000000-0010-0000-0100-000002000000}" name="Year 1" totalsRowFunction="sum" dataDxfId="595" totalsRowDxfId="594" dataCellStyle="Currency">
      <calculatedColumnFormula>SUBTOTAL(109,B8)</calculatedColumnFormula>
    </tableColumn>
    <tableColumn id="3" xr3:uid="{00000000-0010-0000-0100-000003000000}" name="Year 2" totalsRowFunction="sum" dataDxfId="593" totalsRowDxfId="592" dataCellStyle="Currency"/>
    <tableColumn id="4" xr3:uid="{00000000-0010-0000-0100-000004000000}" name="Year 3" totalsRowFunction="sum" dataDxfId="591" totalsRowDxfId="590" dataCellStyle="Currency"/>
    <tableColumn id="5" xr3:uid="{00000000-0010-0000-0100-000005000000}" name="Year 4" totalsRowFunction="sum" dataDxfId="589" totalsRowDxfId="588" dataCellStyle="Currency"/>
    <tableColumn id="6" xr3:uid="{00000000-0010-0000-0100-000006000000}" name="Total" totalsRowFunction="sum" dataDxfId="587" totalsRowDxfId="586" dataCellStyle="Currency">
      <calculatedColumnFormula>SUM(Table3[[#This Row],[Year 1]:[Year 4]])</calculatedColumnFormula>
    </tableColumn>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3000000}" name="Table8232229" displayName="Table8232229" ref="A45:J48" totalsRowCount="1" headerRowDxfId="349" dataDxfId="347" totalsRowDxfId="345" headerRowBorderDxfId="348" tableBorderDxfId="346" totalsRowBorderDxfId="344">
  <autoFilter ref="A45:J47" xr:uid="{00000000-0009-0000-0100-00001C000000}"/>
  <tableColumns count="10">
    <tableColumn id="1" xr3:uid="{00000000-0010-0000-1300-000001000000}" name="Travel Costs" totalsRowLabel="Total" dataDxfId="343" totalsRowDxfId="21"/>
    <tableColumn id="10" xr3:uid="{00000000-0010-0000-1300-00000A000000}" name="0-6 months" totalsRowFunction="sum" dataDxfId="342" totalsRowDxfId="20"/>
    <tableColumn id="2" xr3:uid="{00000000-0010-0000-1300-000002000000}" name="Year 1" totalsRowFunction="sum" dataDxfId="341" totalsRowDxfId="19" dataCellStyle="Currency">
      <calculatedColumnFormula>SUBTOTAL(109,B45:B45)</calculatedColumnFormula>
    </tableColumn>
    <tableColumn id="3" xr3:uid="{00000000-0010-0000-1300-000003000000}" name="Year 2" totalsRowFunction="sum" dataDxfId="340" totalsRowDxfId="18" dataCellStyle="Currency">
      <calculatedColumnFormula>SUBTOTAL(109,C45:C45)</calculatedColumnFormula>
    </tableColumn>
    <tableColumn id="4" xr3:uid="{00000000-0010-0000-1300-000004000000}" name="Year 3" totalsRowFunction="sum" dataDxfId="339" totalsRowDxfId="17" dataCellStyle="Currency">
      <calculatedColumnFormula>SUBTOTAL(109,D45:D45)</calculatedColumnFormula>
    </tableColumn>
    <tableColumn id="5" xr3:uid="{00000000-0010-0000-1300-000005000000}" name="Year 4" totalsRowFunction="sum" dataDxfId="338" totalsRowDxfId="16" dataCellStyle="Currency">
      <calculatedColumnFormula>SUBTOTAL(109,E45:E45)</calculatedColumnFormula>
    </tableColumn>
    <tableColumn id="7" xr3:uid="{00000000-0010-0000-1300-000007000000}" name="Year 5" totalsRowFunction="sum" dataDxfId="337" totalsRowDxfId="15" dataCellStyle="Currency">
      <calculatedColumnFormula>SUBTOTAL(109,F45:F45)</calculatedColumnFormula>
    </tableColumn>
    <tableColumn id="8" xr3:uid="{00000000-0010-0000-1300-000008000000}" name="Year 6" totalsRowFunction="sum" dataDxfId="336" totalsRowDxfId="14" dataCellStyle="Currency">
      <calculatedColumnFormula>SUBTOTAL(109,G45:G45)</calculatedColumnFormula>
    </tableColumn>
    <tableColumn id="9" xr3:uid="{00000000-0010-0000-1300-000009000000}" name="Year 7" totalsRowFunction="sum" dataDxfId="335" totalsRowDxfId="13" dataCellStyle="Currency">
      <calculatedColumnFormula>SUBTOTAL(109,H45:H45)</calculatedColumnFormula>
    </tableColumn>
    <tableColumn id="6" xr3:uid="{00000000-0010-0000-1300-000006000000}" name="Total" totalsRowFunction="sum" dataDxfId="11" totalsRowDxfId="12" dataCellStyle="Currency">
      <calculatedColumnFormula>SUM(Table8232229[[#This Row],[0-6 months]:[Year 7]])</calculatedColumnFormula>
    </tableColumn>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4000000}" name="Table9242530" displayName="Table9242530" ref="A50:J55" totalsRowCount="1" headerRowDxfId="334" totalsRowDxfId="332" tableBorderDxfId="333">
  <autoFilter ref="A50:J54" xr:uid="{00000000-0009-0000-0100-00001D000000}"/>
  <tableColumns count="10">
    <tableColumn id="1" xr3:uid="{00000000-0010-0000-1400-000001000000}" name="Total Costs" totalsRowLabel="Total" dataDxfId="331" totalsRowDxfId="10"/>
    <tableColumn id="10" xr3:uid="{00000000-0010-0000-1400-00000A000000}" name="0-6 months" totalsRowFunction="sum" dataDxfId="330" totalsRowDxfId="9"/>
    <tableColumn id="2" xr3:uid="{00000000-0010-0000-1400-000002000000}" name="Year 1" totalsRowFunction="sum" dataDxfId="329" totalsRowDxfId="8" dataCellStyle="Currency">
      <calculatedColumnFormula>#REF!</calculatedColumnFormula>
    </tableColumn>
    <tableColumn id="3" xr3:uid="{00000000-0010-0000-1400-000003000000}" name="Year 2" totalsRowFunction="sum" dataDxfId="328" totalsRowDxfId="7" dataCellStyle="Currency"/>
    <tableColumn id="4" xr3:uid="{00000000-0010-0000-1400-000004000000}" name="Year 3" totalsRowFunction="sum" dataDxfId="327" totalsRowDxfId="6" dataCellStyle="Currency"/>
    <tableColumn id="5" xr3:uid="{00000000-0010-0000-1400-000005000000}" name="Year 4" totalsRowFunction="sum" dataDxfId="326" totalsRowDxfId="5" dataCellStyle="Currency"/>
    <tableColumn id="7" xr3:uid="{00000000-0010-0000-1400-000007000000}" name="Year 5" totalsRowFunction="sum" dataDxfId="325" totalsRowDxfId="4" dataCellStyle="Currency"/>
    <tableColumn id="8" xr3:uid="{00000000-0010-0000-1400-000008000000}" name="Year 6" totalsRowFunction="sum" dataDxfId="324" totalsRowDxfId="3" dataCellStyle="Currency"/>
    <tableColumn id="9" xr3:uid="{00000000-0010-0000-1400-000009000000}" name="Year 7" totalsRowFunction="sum" dataDxfId="323" totalsRowDxfId="2" dataCellStyle="Currency"/>
    <tableColumn id="6" xr3:uid="{00000000-0010-0000-1400-000006000000}" name="Total" totalsRowFunction="sum" dataDxfId="0" totalsRowDxfId="1" dataCellStyle="Currency">
      <calculatedColumnFormula>SUM(Table9242530[[#This Row],[0-6 months]:[Year 7]])</calculatedColumnFormula>
    </tableColumn>
  </tableColumns>
  <tableStyleInfo name="TableStyleMedium8"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5000000}" name="Table54" displayName="Table54" ref="A6:J13" totalsRowCount="1" headerRowDxfId="322" totalsRowDxfId="319" headerRowBorderDxfId="321" tableBorderDxfId="320" totalsRowBorderDxfId="318">
  <autoFilter ref="A6:J12" xr:uid="{00000000-0009-0000-0100-000036000000}"/>
  <tableColumns count="10">
    <tableColumn id="1" xr3:uid="{00000000-0010-0000-1500-000001000000}" name="SFI Requested Budget" totalsRowLabel="Total" dataDxfId="317" totalsRowDxfId="316"/>
    <tableColumn id="10" xr3:uid="{00000000-0010-0000-1500-00000A000000}" name="0-6 months" totalsRowFunction="sum" dataDxfId="315" totalsRowDxfId="314"/>
    <tableColumn id="2" xr3:uid="{00000000-0010-0000-1500-000002000000}" name="Year 1" totalsRowFunction="sum" dataDxfId="313" totalsRowDxfId="312" dataCellStyle="Currency"/>
    <tableColumn id="3" xr3:uid="{00000000-0010-0000-1500-000003000000}" name="Year 2" totalsRowFunction="sum" dataDxfId="311" totalsRowDxfId="310" dataCellStyle="Currency"/>
    <tableColumn id="4" xr3:uid="{00000000-0010-0000-1500-000004000000}" name="Year 3" totalsRowFunction="sum" dataDxfId="309" totalsRowDxfId="308" dataCellStyle="Currency"/>
    <tableColumn id="5" xr3:uid="{00000000-0010-0000-1500-000005000000}" name="Year 4" totalsRowFunction="sum" dataDxfId="307" totalsRowDxfId="306" dataCellStyle="Currency"/>
    <tableColumn id="6" xr3:uid="{00000000-0010-0000-1500-000006000000}" name="Year 5" totalsRowFunction="sum" dataDxfId="305" totalsRowDxfId="304" dataCellStyle="Currency"/>
    <tableColumn id="7" xr3:uid="{00000000-0010-0000-1500-000007000000}" name="Year 6" totalsRowFunction="sum" dataDxfId="303" totalsRowDxfId="302" dataCellStyle="Currency"/>
    <tableColumn id="8" xr3:uid="{00000000-0010-0000-1500-000008000000}" name="Year 7" totalsRowFunction="sum" dataDxfId="301" totalsRowDxfId="300" dataCellStyle="Currency"/>
    <tableColumn id="9" xr3:uid="{00000000-0010-0000-1500-000009000000}" name="Total" totalsRowFunction="sum" dataDxfId="299" totalsRowDxfId="298" dataCellStyle="Currency">
      <calculatedColumnFormula>SUM(Table54[[#This Row],[0-6 months]:[Year 7]])</calculatedColumnFormula>
    </tableColumn>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6000000}" name="Table5456" displayName="Table5456" ref="A15:J23" totalsRowCount="1" headerRowDxfId="297" totalsRowDxfId="294" headerRowBorderDxfId="296" tableBorderDxfId="295" totalsRowBorderDxfId="293">
  <autoFilter ref="A15:J22" xr:uid="{00000000-0009-0000-0100-000037000000}"/>
  <tableColumns count="10">
    <tableColumn id="1" xr3:uid="{00000000-0010-0000-1600-000001000000}" name="Additional leverage" totalsRowLabel="Total" dataDxfId="292" totalsRowDxfId="291"/>
    <tableColumn id="10" xr3:uid="{00000000-0010-0000-1600-00000A000000}" name="0-6 months" totalsRowFunction="sum" dataDxfId="290" totalsRowDxfId="289"/>
    <tableColumn id="2" xr3:uid="{00000000-0010-0000-1600-000002000000}" name="Year 1" totalsRowFunction="sum" dataDxfId="288" totalsRowDxfId="287" dataCellStyle="Currency"/>
    <tableColumn id="3" xr3:uid="{00000000-0010-0000-1600-000003000000}" name="Year 2" totalsRowFunction="sum" dataDxfId="286" totalsRowDxfId="285" dataCellStyle="Currency"/>
    <tableColumn id="4" xr3:uid="{00000000-0010-0000-1600-000004000000}" name="Year 3" totalsRowFunction="sum" dataDxfId="284" totalsRowDxfId="283" dataCellStyle="Currency"/>
    <tableColumn id="5" xr3:uid="{00000000-0010-0000-1600-000005000000}" name="Year 4" totalsRowFunction="sum" dataDxfId="282" totalsRowDxfId="281" dataCellStyle="Currency"/>
    <tableColumn id="6" xr3:uid="{00000000-0010-0000-1600-000006000000}" name="Year 5" totalsRowFunction="sum" dataDxfId="280" totalsRowDxfId="279" dataCellStyle="Currency"/>
    <tableColumn id="7" xr3:uid="{00000000-0010-0000-1600-000007000000}" name="Year 6" totalsRowFunction="sum" dataDxfId="278" totalsRowDxfId="277" dataCellStyle="Currency"/>
    <tableColumn id="8" xr3:uid="{00000000-0010-0000-1600-000008000000}" name="Year 7" totalsRowFunction="sum" dataDxfId="276" totalsRowDxfId="275" dataCellStyle="Currency"/>
    <tableColumn id="9" xr3:uid="{00000000-0010-0000-1600-000009000000}" name="Total" totalsRowFunction="sum" dataDxfId="274" totalsRowDxfId="273" dataCellStyle="Currency">
      <calculatedColumnFormula>SUM(Table5456[[#This Row],[0-6 months]:[Year 7]])</calculatedColumnFormula>
    </tableColumn>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17000000}" name="Table5470" displayName="Table5470" ref="A25:J34" totalsRowShown="0" headerRowDxfId="272" headerRowBorderDxfId="271" tableBorderDxfId="270" totalsRowBorderDxfId="269">
  <autoFilter ref="A25:J34" xr:uid="{00000000-0009-0000-0100-000045000000}"/>
  <tableColumns count="10">
    <tableColumn id="1" xr3:uid="{00000000-0010-0000-1700-000001000000}" name="CRT Total Budget" dataDxfId="268"/>
    <tableColumn id="10" xr3:uid="{00000000-0010-0000-1700-00000A000000}" name="0-6 months" dataDxfId="267"/>
    <tableColumn id="2" xr3:uid="{00000000-0010-0000-1700-000002000000}" name="Year 1" dataDxfId="266" dataCellStyle="Currency"/>
    <tableColumn id="3" xr3:uid="{00000000-0010-0000-1700-000003000000}" name="Year 2" dataDxfId="265" dataCellStyle="Currency"/>
    <tableColumn id="4" xr3:uid="{00000000-0010-0000-1700-000004000000}" name="Year 3" dataDxfId="264" dataCellStyle="Currency"/>
    <tableColumn id="5" xr3:uid="{00000000-0010-0000-1700-000005000000}" name="Year 4" dataDxfId="263" dataCellStyle="Currency"/>
    <tableColumn id="6" xr3:uid="{00000000-0010-0000-1700-000006000000}" name="Year 5" dataDxfId="262" dataCellStyle="Currency"/>
    <tableColumn id="7" xr3:uid="{00000000-0010-0000-1700-000007000000}" name="Year 6" dataDxfId="261" dataCellStyle="Currency"/>
    <tableColumn id="8" xr3:uid="{00000000-0010-0000-1700-000008000000}" name="Year 7" dataDxfId="260" dataCellStyle="Currency"/>
    <tableColumn id="9" xr3:uid="{00000000-0010-0000-1700-000009000000}" name="Total" dataDxfId="259" dataCellStyle="Currency">
      <calculatedColumnFormula>SUM(Table5470[[#This Row],[0-6 months]:[Year 7]])</calculatedColumnFormula>
    </tableColumn>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18000000}" name="Table5472" displayName="Table5472" ref="A4:J8" totalsRowCount="1">
  <autoFilter ref="A4:J7" xr:uid="{00000000-0009-0000-0100-000047000000}"/>
  <tableColumns count="10">
    <tableColumn id="1" xr3:uid="{00000000-0010-0000-1800-000001000000}" name="Staff Costs" totalsRowLabel="Total"/>
    <tableColumn id="10" xr3:uid="{00000000-0010-0000-1800-00000A000000}" name="Year 1" totalsRowFunction="sum"/>
    <tableColumn id="2" xr3:uid="{00000000-0010-0000-1800-000002000000}" name="Year 2" totalsRowFunction="sum" dataDxfId="258" totalsRowDxfId="257" dataCellStyle="Currency"/>
    <tableColumn id="3" xr3:uid="{00000000-0010-0000-1800-000003000000}" name="Year 3" totalsRowFunction="sum" dataDxfId="256" totalsRowDxfId="255" dataCellStyle="Currency"/>
    <tableColumn id="4" xr3:uid="{00000000-0010-0000-1800-000004000000}" name="Year 4" totalsRowFunction="sum" dataDxfId="254" totalsRowDxfId="253" dataCellStyle="Currency"/>
    <tableColumn id="5" xr3:uid="{00000000-0010-0000-1800-000005000000}" name="Year 5" totalsRowFunction="sum" dataDxfId="252" totalsRowDxfId="251" dataCellStyle="Currency"/>
    <tableColumn id="6" xr3:uid="{00000000-0010-0000-1800-000006000000}" name="Year 6" totalsRowFunction="sum" dataDxfId="250" totalsRowDxfId="249" dataCellStyle="Currency"/>
    <tableColumn id="7" xr3:uid="{00000000-0010-0000-1800-000007000000}" name="Year 7" totalsRowFunction="sum" dataDxfId="248" totalsRowDxfId="247" dataCellStyle="Currency"/>
    <tableColumn id="8" xr3:uid="{00000000-0010-0000-1800-000008000000}" name="Year 8" totalsRowFunction="sum" dataDxfId="246" totalsRowDxfId="245" dataCellStyle="Currency"/>
    <tableColumn id="9" xr3:uid="{00000000-0010-0000-1800-000009000000}" name="Total" totalsRowFunction="sum" dataDxfId="244" totalsRowDxfId="243" dataCellStyle="Currency">
      <calculatedColumnFormula>SUM(Table5472[[#This Row],[Year 1]:[Year 8]])</calculatedColumnFormula>
    </tableColumn>
  </tableColumns>
  <tableStyleInfo name="TableStyleMedium9"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19000000}" name="Table547274" displayName="Table547274" ref="A10:J12" totalsRowCount="1">
  <autoFilter ref="A10:J11" xr:uid="{00000000-0009-0000-0100-000049000000}"/>
  <tableColumns count="10">
    <tableColumn id="1" xr3:uid="{00000000-0010-0000-1900-000001000000}" name="Equipment Costs" totalsRowLabel="Total"/>
    <tableColumn id="10" xr3:uid="{00000000-0010-0000-1900-00000A000000}" name="Year 1" totalsRowFunction="sum" dataDxfId="242" totalsRowDxfId="241">
      <calculatedColumnFormula>'Summary Budget'!$B$1*('Student Costs'!A9)</calculatedColumnFormula>
    </tableColumn>
    <tableColumn id="2" xr3:uid="{00000000-0010-0000-1900-000002000000}" name="Year 2" totalsRowFunction="sum" dataDxfId="240" totalsRowDxfId="239" dataCellStyle="Currency"/>
    <tableColumn id="3" xr3:uid="{00000000-0010-0000-1900-000003000000}" name="Year 3" totalsRowFunction="sum" dataDxfId="238" totalsRowDxfId="237" dataCellStyle="Currency"/>
    <tableColumn id="4" xr3:uid="{00000000-0010-0000-1900-000004000000}" name="Year 4" totalsRowFunction="sum" dataDxfId="236" totalsRowDxfId="235" dataCellStyle="Currency"/>
    <tableColumn id="5" xr3:uid="{00000000-0010-0000-1900-000005000000}" name="Year 5" totalsRowFunction="sum" dataDxfId="234" totalsRowDxfId="233" dataCellStyle="Currency"/>
    <tableColumn id="6" xr3:uid="{00000000-0010-0000-1900-000006000000}" name="Year 6" totalsRowFunction="sum" dataDxfId="232" totalsRowDxfId="231" dataCellStyle="Currency"/>
    <tableColumn id="7" xr3:uid="{00000000-0010-0000-1900-000007000000}" name="Year 7" totalsRowFunction="sum" dataDxfId="230" totalsRowDxfId="229" dataCellStyle="Currency"/>
    <tableColumn id="8" xr3:uid="{00000000-0010-0000-1900-000008000000}" name="Year 8" totalsRowFunction="sum" dataDxfId="228" totalsRowDxfId="227" dataCellStyle="Currency"/>
    <tableColumn id="9" xr3:uid="{00000000-0010-0000-1900-000009000000}" name="Total" totalsRowFunction="sum" dataDxfId="226" totalsRowDxfId="225" dataCellStyle="Currency">
      <calculatedColumnFormula>SUM(Table547274[[#This Row],[Year 1]:[Year 8]])</calculatedColumnFormula>
    </tableColumn>
  </tableColumns>
  <tableStyleInfo name="TableStyleMedium9"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1A000000}" name="Table547275" displayName="Table547275" ref="A14:J17" totalsRowCount="1">
  <autoFilter ref="A14:J16" xr:uid="{00000000-0009-0000-0100-00004A000000}"/>
  <tableColumns count="10">
    <tableColumn id="1" xr3:uid="{00000000-0010-0000-1A00-000001000000}" name="Materials and Consumables" totalsRowLabel="Total"/>
    <tableColumn id="10" xr3:uid="{00000000-0010-0000-1A00-00000A000000}" name="Year 1" totalsRowFunction="sum" dataDxfId="224" totalsRowDxfId="223">
      <calculatedColumnFormula>'SFI Operational Costs'!B23</calculatedColumnFormula>
    </tableColumn>
    <tableColumn id="2" xr3:uid="{00000000-0010-0000-1A00-000002000000}" name="Year 2" totalsRowFunction="sum" dataDxfId="222" totalsRowDxfId="221" dataCellStyle="Currency"/>
    <tableColumn id="3" xr3:uid="{00000000-0010-0000-1A00-000003000000}" name="Year 3" totalsRowFunction="sum" dataDxfId="220" totalsRowDxfId="219" dataCellStyle="Currency"/>
    <tableColumn id="4" xr3:uid="{00000000-0010-0000-1A00-000004000000}" name="Year 4" totalsRowFunction="sum" dataDxfId="218" totalsRowDxfId="217" dataCellStyle="Currency"/>
    <tableColumn id="5" xr3:uid="{00000000-0010-0000-1A00-000005000000}" name="Year 5" totalsRowFunction="sum" dataDxfId="216" totalsRowDxfId="215" dataCellStyle="Currency"/>
    <tableColumn id="6" xr3:uid="{00000000-0010-0000-1A00-000006000000}" name="Year 6" totalsRowFunction="sum" dataDxfId="214" totalsRowDxfId="213" dataCellStyle="Currency"/>
    <tableColumn id="7" xr3:uid="{00000000-0010-0000-1A00-000007000000}" name="Year 7" totalsRowFunction="sum" dataDxfId="212" totalsRowDxfId="211" dataCellStyle="Currency"/>
    <tableColumn id="8" xr3:uid="{00000000-0010-0000-1A00-000008000000}" name="Year 8" totalsRowFunction="sum" dataDxfId="210" totalsRowDxfId="209" dataCellStyle="Currency"/>
    <tableColumn id="9" xr3:uid="{00000000-0010-0000-1A00-000009000000}" name="Total" totalsRowFunction="sum" dataDxfId="208" totalsRowDxfId="207" dataCellStyle="Currency">
      <calculatedColumnFormula>SUM(Table547275[[#This Row],[Year 1]:[Year 8]])</calculatedColumnFormula>
    </tableColumn>
  </tableColumns>
  <tableStyleInfo name="TableStyleMedium9"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1B000000}" name="Table54727576" displayName="Table54727576" ref="A19:J22" totalsRowCount="1">
  <autoFilter ref="A19:J21" xr:uid="{00000000-0009-0000-0100-00004B000000}"/>
  <tableColumns count="10">
    <tableColumn id="1" xr3:uid="{00000000-0010-0000-1B00-000001000000}" name="Training (incl. Placements)" totalsRowLabel="Total"/>
    <tableColumn id="10" xr3:uid="{00000000-0010-0000-1B00-00000A000000}" name="Year 1" totalsRowFunction="sum" dataDxfId="206" totalsRowDxfId="205">
      <calculatedColumnFormula>'SFI Operational Costs'!B24</calculatedColumnFormula>
    </tableColumn>
    <tableColumn id="2" xr3:uid="{00000000-0010-0000-1B00-000002000000}" name="Year 2" totalsRowFunction="sum" dataDxfId="204" totalsRowDxfId="203" dataCellStyle="Currency"/>
    <tableColumn id="3" xr3:uid="{00000000-0010-0000-1B00-000003000000}" name="Year 3" totalsRowFunction="sum" dataDxfId="202" totalsRowDxfId="201" dataCellStyle="Currency"/>
    <tableColumn id="4" xr3:uid="{00000000-0010-0000-1B00-000004000000}" name="Year 4" totalsRowFunction="sum" dataDxfId="200" totalsRowDxfId="199" dataCellStyle="Currency"/>
    <tableColumn id="5" xr3:uid="{00000000-0010-0000-1B00-000005000000}" name="Year 5" totalsRowFunction="sum" dataDxfId="198" totalsRowDxfId="197" dataCellStyle="Currency"/>
    <tableColumn id="6" xr3:uid="{00000000-0010-0000-1B00-000006000000}" name="Year 6" totalsRowFunction="sum" dataDxfId="196" totalsRowDxfId="195" dataCellStyle="Currency"/>
    <tableColumn id="7" xr3:uid="{00000000-0010-0000-1B00-000007000000}" name="Year 7" totalsRowFunction="sum" dataDxfId="194" totalsRowDxfId="193" dataCellStyle="Currency"/>
    <tableColumn id="8" xr3:uid="{00000000-0010-0000-1B00-000008000000}" name="Year 8" totalsRowFunction="sum" dataDxfId="192" totalsRowDxfId="191" dataCellStyle="Currency"/>
    <tableColumn id="9" xr3:uid="{00000000-0010-0000-1B00-000009000000}" name="Total" totalsRowFunction="sum" dataDxfId="190" totalsRowDxfId="189" dataCellStyle="Currency">
      <calculatedColumnFormula>SUM(Table54727576[[#This Row],[Year 1]:[Year 8]])</calculatedColumnFormula>
    </tableColumn>
  </tableColumns>
  <tableStyleInfo name="TableStyleMedium9"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1C000000}" name="Table5472757677" displayName="Table5472757677" ref="A24:J27" totalsRowCount="1">
  <autoFilter ref="A24:J26" xr:uid="{00000000-0009-0000-0100-00004C000000}"/>
  <tableColumns count="10">
    <tableColumn id="1" xr3:uid="{00000000-0010-0000-1C00-000001000000}" name="Travel" totalsRowLabel="Total"/>
    <tableColumn id="10" xr3:uid="{00000000-0010-0000-1C00-00000A000000}" name="Year 1" totalsRowFunction="sum" dataDxfId="188" totalsRowDxfId="187">
      <calculatedColumnFormula>Table924[[#This Row],[0-6 months]]</calculatedColumnFormula>
    </tableColumn>
    <tableColumn id="2" xr3:uid="{00000000-0010-0000-1C00-000002000000}" name="Year 2" totalsRowFunction="sum" dataDxfId="186" totalsRowDxfId="185" dataCellStyle="Currency"/>
    <tableColumn id="3" xr3:uid="{00000000-0010-0000-1C00-000003000000}" name="Year 3" totalsRowFunction="sum" dataDxfId="184" totalsRowDxfId="183" dataCellStyle="Currency"/>
    <tableColumn id="4" xr3:uid="{00000000-0010-0000-1C00-000004000000}" name="Year 4" totalsRowFunction="sum" dataDxfId="182" totalsRowDxfId="181" dataCellStyle="Currency"/>
    <tableColumn id="5" xr3:uid="{00000000-0010-0000-1C00-000005000000}" name="Year 5" totalsRowFunction="sum" dataDxfId="180" totalsRowDxfId="179" dataCellStyle="Currency"/>
    <tableColumn id="6" xr3:uid="{00000000-0010-0000-1C00-000006000000}" name="Year 6" totalsRowFunction="sum" dataDxfId="178" totalsRowDxfId="177" dataCellStyle="Currency"/>
    <tableColumn id="7" xr3:uid="{00000000-0010-0000-1C00-000007000000}" name="Year 7" totalsRowFunction="sum" dataDxfId="176" totalsRowDxfId="175" dataCellStyle="Currency"/>
    <tableColumn id="8" xr3:uid="{00000000-0010-0000-1C00-000008000000}" name="Year 8" totalsRowFunction="sum" dataDxfId="174" totalsRowDxfId="173" dataCellStyle="Currency"/>
    <tableColumn id="9" xr3:uid="{00000000-0010-0000-1C00-000009000000}" name="Total" totalsRowFunction="sum" dataDxfId="172" totalsRowDxfId="171" dataCellStyle="Currency">
      <calculatedColumnFormula>SUM(Table5472757677[[#This Row],[Year 1]:[Year 8]])</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F16" totalsRowCount="1" headerRowDxfId="585" totalsRowDxfId="582" headerRowBorderDxfId="584" tableBorderDxfId="583" totalsRowBorderDxfId="581">
  <autoFilter ref="A12:F15" xr:uid="{00000000-0009-0000-0100-000005000000}"/>
  <tableColumns count="6">
    <tableColumn id="1" xr3:uid="{00000000-0010-0000-0200-000001000000}" name="Materials Costs" totalsRowLabel="Total" dataDxfId="580" totalsRowDxfId="579"/>
    <tableColumn id="2" xr3:uid="{00000000-0010-0000-0200-000002000000}" name="Year 1" totalsRowFunction="sum" dataDxfId="578" totalsRowDxfId="577" dataCellStyle="Currency">
      <calculatedColumnFormula>SUBTOTAL(109,B12:B12)</calculatedColumnFormula>
    </tableColumn>
    <tableColumn id="3" xr3:uid="{00000000-0010-0000-0200-000003000000}" name="Year 2" totalsRowFunction="sum" dataDxfId="576" totalsRowDxfId="575" dataCellStyle="Currency"/>
    <tableColumn id="4" xr3:uid="{00000000-0010-0000-0200-000004000000}" name="Year 3" totalsRowFunction="sum" dataDxfId="574" totalsRowDxfId="573" dataCellStyle="Currency"/>
    <tableColumn id="5" xr3:uid="{00000000-0010-0000-0200-000005000000}" name="Year 4" totalsRowFunction="sum" dataDxfId="572" totalsRowDxfId="571" dataCellStyle="Currency"/>
    <tableColumn id="6" xr3:uid="{00000000-0010-0000-0200-000006000000}" name="Total" totalsRowFunction="sum" dataDxfId="570" totalsRowDxfId="569" dataCellStyle="Currency" totalsRowCellStyle="Currency">
      <calculatedColumnFormula>SUM(Table5[[#This Row],[Year 1]:[Year 4]])</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6" displayName="Table6" ref="A18:F22" totalsRowCount="1" headerRowDxfId="568" totalsRowDxfId="565" headerRowBorderDxfId="567" tableBorderDxfId="566" totalsRowBorderDxfId="564">
  <autoFilter ref="A18:F21" xr:uid="{00000000-0009-0000-0100-000006000000}"/>
  <tableColumns count="6">
    <tableColumn id="1" xr3:uid="{00000000-0010-0000-0300-000001000000}" name="Training Costs" totalsRowLabel="Total" dataDxfId="563" totalsRowDxfId="562"/>
    <tableColumn id="2" xr3:uid="{00000000-0010-0000-0300-000002000000}" name="Year 1" totalsRowFunction="sum" dataDxfId="561" totalsRowDxfId="560" dataCellStyle="Currency">
      <calculatedColumnFormula>SUBTOTAL(109,B18:B18)</calculatedColumnFormula>
    </tableColumn>
    <tableColumn id="3" xr3:uid="{00000000-0010-0000-0300-000003000000}" name="Year 2" totalsRowFunction="sum" dataDxfId="559" totalsRowDxfId="558" dataCellStyle="Currency"/>
    <tableColumn id="4" xr3:uid="{00000000-0010-0000-0300-000004000000}" name="Year 3" totalsRowFunction="sum" dataDxfId="557" totalsRowDxfId="556" dataCellStyle="Currency"/>
    <tableColumn id="5" xr3:uid="{00000000-0010-0000-0300-000005000000}" name="Year 4" totalsRowFunction="sum" dataDxfId="555" totalsRowDxfId="554" dataCellStyle="Currency"/>
    <tableColumn id="6" xr3:uid="{00000000-0010-0000-0300-000006000000}" name="Total" totalsRowFunction="sum" dataDxfId="553" totalsRowDxfId="552" dataCellStyle="Currency" totalsRowCellStyle="Currency">
      <calculatedColumnFormula>SUM(Table6[[#This Row],[Year 1]:[Year 4]])</calculatedColumnFormula>
    </tableColumn>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A24:F28" totalsRowCount="1" headerRowDxfId="551" totalsRowDxfId="548" headerRowBorderDxfId="550" tableBorderDxfId="549" totalsRowBorderDxfId="547">
  <autoFilter ref="A24:F27" xr:uid="{00000000-0009-0000-0100-000008000000}"/>
  <tableColumns count="6">
    <tableColumn id="1" xr3:uid="{00000000-0010-0000-0400-000001000000}" name="Travel Costs" totalsRowLabel="Total" dataDxfId="546" totalsRowDxfId="545"/>
    <tableColumn id="2" xr3:uid="{00000000-0010-0000-0400-000002000000}" name="Year 1" totalsRowFunction="sum" dataDxfId="544" totalsRowDxfId="543" dataCellStyle="Currency">
      <calculatedColumnFormula>SUBTOTAL(109,B24:B24)</calculatedColumnFormula>
    </tableColumn>
    <tableColumn id="3" xr3:uid="{00000000-0010-0000-0400-000003000000}" name="Year 2" totalsRowFunction="sum" dataDxfId="542" totalsRowDxfId="541" dataCellStyle="Currency">
      <calculatedColumnFormula>SUBTOTAL(109,C24:C24)</calculatedColumnFormula>
    </tableColumn>
    <tableColumn id="4" xr3:uid="{00000000-0010-0000-0400-000004000000}" name="Year 3" totalsRowFunction="sum" dataDxfId="540" totalsRowDxfId="539" dataCellStyle="Currency">
      <calculatedColumnFormula>SUBTOTAL(109,D24:D24)</calculatedColumnFormula>
    </tableColumn>
    <tableColumn id="5" xr3:uid="{00000000-0010-0000-0400-000005000000}" name="Year 4" totalsRowFunction="sum" dataDxfId="538" totalsRowDxfId="537" dataCellStyle="Currency">
      <calculatedColumnFormula>SUBTOTAL(109,E24:E24)</calculatedColumnFormula>
    </tableColumn>
    <tableColumn id="6" xr3:uid="{00000000-0010-0000-0400-000006000000}" name="Total" totalsRowFunction="sum" dataDxfId="536" totalsRowDxfId="535" dataCellStyle="Currency" totalsRowCellStyle="Currency">
      <calculatedColumnFormula>SUM(Table8[[#This Row],[Year 1]:[Year 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9" displayName="Table9" ref="A30:F36" totalsRowShown="0">
  <autoFilter ref="A30:F36" xr:uid="{00000000-0009-0000-0100-000009000000}"/>
  <tableColumns count="6">
    <tableColumn id="1" xr3:uid="{00000000-0010-0000-0500-000001000000}" name="Total Costs"/>
    <tableColumn id="2" xr3:uid="{00000000-0010-0000-0500-000002000000}" name="Year 1" dataDxfId="534" dataCellStyle="Currency">
      <calculatedColumnFormula>#REF!</calculatedColumnFormula>
    </tableColumn>
    <tableColumn id="3" xr3:uid="{00000000-0010-0000-0500-000003000000}" name="Year 2" dataDxfId="533" dataCellStyle="Currency"/>
    <tableColumn id="4" xr3:uid="{00000000-0010-0000-0500-000004000000}" name="Year 3" dataDxfId="532" dataCellStyle="Currency"/>
    <tableColumn id="5" xr3:uid="{00000000-0010-0000-0500-000005000000}" name="Year 4" dataDxfId="531" dataCellStyle="Currency"/>
    <tableColumn id="6" xr3:uid="{00000000-0010-0000-0500-000006000000}" name="Total" dataDxfId="530" dataCellStyle="Currency">
      <calculatedColumnFormula>SUM(Table9[[#This Row],[Year 1]:[Year 4]])</calculatedColumnFormula>
    </tableColumn>
  </tableColumns>
  <tableStyleInfo name="TableStyleMedium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218" displayName="Table218" ref="A3:J5" totalsRowCount="1" headerRowDxfId="529" totalsRowDxfId="526" headerRowBorderDxfId="528" tableBorderDxfId="527" totalsRowBorderDxfId="525">
  <autoFilter ref="A3:J4" xr:uid="{00000000-0009-0000-0100-000011000000}"/>
  <tableColumns count="10">
    <tableColumn id="1" xr3:uid="{00000000-0010-0000-0600-000001000000}" name="Staff Costs" totalsRowLabel="Total" dataDxfId="524" totalsRowDxfId="170"/>
    <tableColumn id="8" xr3:uid="{00000000-0010-0000-0600-000008000000}" name="0-6 months" totalsRowFunction="sum" dataDxfId="523" totalsRowDxfId="169"/>
    <tableColumn id="2" xr3:uid="{00000000-0010-0000-0600-000002000000}" name="Year 1" totalsRowFunction="sum" dataDxfId="522" totalsRowDxfId="168" dataCellStyle="Currency"/>
    <tableColumn id="3" xr3:uid="{00000000-0010-0000-0600-000003000000}" name="Year 2" totalsRowFunction="sum" dataDxfId="521" totalsRowDxfId="167" dataCellStyle="Currency"/>
    <tableColumn id="4" xr3:uid="{00000000-0010-0000-0600-000004000000}" name="Year 3" totalsRowFunction="sum" dataDxfId="520" totalsRowDxfId="166" dataCellStyle="Currency"/>
    <tableColumn id="5" xr3:uid="{00000000-0010-0000-0600-000005000000}" name="Year 4" totalsRowFunction="sum" dataDxfId="519" totalsRowDxfId="165" dataCellStyle="Currency"/>
    <tableColumn id="7" xr3:uid="{00000000-0010-0000-0600-000007000000}" name="Year 5" totalsRowFunction="sum" dataDxfId="518" totalsRowDxfId="164" dataCellStyle="Currency"/>
    <tableColumn id="9" xr3:uid="{00000000-0010-0000-0600-000009000000}" name="Year 6" totalsRowFunction="sum" dataDxfId="517" totalsRowDxfId="163" dataCellStyle="Currency"/>
    <tableColumn id="10" xr3:uid="{00000000-0010-0000-0600-00000A000000}" name="Year 7" totalsRowFunction="sum" dataDxfId="516" totalsRowDxfId="162" dataCellStyle="Currency"/>
    <tableColumn id="6" xr3:uid="{00000000-0010-0000-0600-000006000000}" name="Total" totalsRowFunction="sum" dataDxfId="515" totalsRowDxfId="161" dataCellStyle="Currency">
      <calculatedColumnFormula>SUM(Table218[[0-6 months]:[Year 7]])</calculatedColumnFormula>
    </tableColumn>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7000000}" name="Table520" displayName="Table520" ref="A7:J10" totalsRowCount="1" headerRowDxfId="514" dataDxfId="512" totalsRowDxfId="510" headerRowBorderDxfId="513" tableBorderDxfId="511" totalsRowBorderDxfId="509">
  <autoFilter ref="A7:J9" xr:uid="{00000000-0009-0000-0100-000013000000}"/>
  <tableColumns count="10">
    <tableColumn id="1" xr3:uid="{00000000-0010-0000-0700-000001000000}" name="Operational Costs" totalsRowLabel="Total" dataDxfId="508" totalsRowDxfId="160"/>
    <tableColumn id="10" xr3:uid="{00000000-0010-0000-0700-00000A000000}" name="0-6 months" totalsRowFunction="sum" dataDxfId="507" totalsRowDxfId="159"/>
    <tableColumn id="2" xr3:uid="{00000000-0010-0000-0700-000002000000}" name="Year 1" totalsRowFunction="sum" dataDxfId="506" totalsRowDxfId="158" dataCellStyle="Currency">
      <calculatedColumnFormula>SUBTOTAL(109,B7:B7)</calculatedColumnFormula>
    </tableColumn>
    <tableColumn id="3" xr3:uid="{00000000-0010-0000-0700-000003000000}" name="Year 2" totalsRowFunction="sum" dataDxfId="505" totalsRowDxfId="157" dataCellStyle="Currency">
      <calculatedColumnFormula>SUBTOTAL(109,C7:C7)</calculatedColumnFormula>
    </tableColumn>
    <tableColumn id="4" xr3:uid="{00000000-0010-0000-0700-000004000000}" name="Year 3" totalsRowFunction="sum" dataDxfId="504" totalsRowDxfId="156" dataCellStyle="Currency">
      <calculatedColumnFormula>SUBTOTAL(109,D7:D7)</calculatedColumnFormula>
    </tableColumn>
    <tableColumn id="5" xr3:uid="{00000000-0010-0000-0700-000005000000}" name="Year 4" totalsRowFunction="sum" dataDxfId="503" totalsRowDxfId="155" dataCellStyle="Currency">
      <calculatedColumnFormula>SUBTOTAL(109,E7:E7)</calculatedColumnFormula>
    </tableColumn>
    <tableColumn id="7" xr3:uid="{00000000-0010-0000-0700-000007000000}" name="Year 5" totalsRowFunction="sum" dataDxfId="502" totalsRowDxfId="154" dataCellStyle="Currency">
      <calculatedColumnFormula>SUBTOTAL(109,F7:F7)</calculatedColumnFormula>
    </tableColumn>
    <tableColumn id="8" xr3:uid="{00000000-0010-0000-0700-000008000000}" name="Year 6" totalsRowFunction="sum" dataDxfId="501" totalsRowDxfId="153" dataCellStyle="Currency">
      <calculatedColumnFormula>SUBTOTAL(109,G7:G7)</calculatedColumnFormula>
    </tableColumn>
    <tableColumn id="9" xr3:uid="{00000000-0010-0000-0700-000009000000}" name="Year 7" totalsRowFunction="sum" dataDxfId="500" totalsRowDxfId="152" dataCellStyle="Currency">
      <calculatedColumnFormula>SUBTOTAL(109,H7:H7)</calculatedColumnFormula>
    </tableColumn>
    <tableColumn id="6" xr3:uid="{00000000-0010-0000-0700-000006000000}" name="Total" totalsRowFunction="sum" dataDxfId="150" totalsRowDxfId="151" dataCellStyle="Currency">
      <calculatedColumnFormula>SUM(Table520[[#This Row],[0-6 months]:[Year 7]])</calculatedColumnFormula>
    </tableColumn>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8000000}" name="Table621" displayName="Table621" ref="A12:J15" totalsRowCount="1" headerRowDxfId="499" dataDxfId="497" totalsRowDxfId="495" headerRowBorderDxfId="498" tableBorderDxfId="496" totalsRowBorderDxfId="494">
  <autoFilter ref="A12:J14" xr:uid="{00000000-0009-0000-0100-000014000000}"/>
  <tableColumns count="10">
    <tableColumn id="1" xr3:uid="{00000000-0010-0000-0800-000001000000}" name="Training Costs" totalsRowLabel="Total" dataDxfId="493" totalsRowDxfId="149"/>
    <tableColumn id="10" xr3:uid="{00000000-0010-0000-0800-00000A000000}" name="0-6 months" totalsRowFunction="sum" dataDxfId="492" totalsRowDxfId="148"/>
    <tableColumn id="2" xr3:uid="{00000000-0010-0000-0800-000002000000}" name="Year 1" totalsRowFunction="sum" dataDxfId="491" totalsRowDxfId="147" dataCellStyle="Currency">
      <calculatedColumnFormula>SUBTOTAL(109,B12:B12)</calculatedColumnFormula>
    </tableColumn>
    <tableColumn id="3" xr3:uid="{00000000-0010-0000-0800-000003000000}" name="Year 2" totalsRowFunction="sum" dataDxfId="490" totalsRowDxfId="146" dataCellStyle="Currency">
      <calculatedColumnFormula>SUBTOTAL(109,C12:C12)</calculatedColumnFormula>
    </tableColumn>
    <tableColumn id="4" xr3:uid="{00000000-0010-0000-0800-000004000000}" name="Year 3" totalsRowFunction="sum" dataDxfId="489" totalsRowDxfId="145" dataCellStyle="Currency">
      <calculatedColumnFormula>SUBTOTAL(109,D12:D12)</calculatedColumnFormula>
    </tableColumn>
    <tableColumn id="5" xr3:uid="{00000000-0010-0000-0800-000005000000}" name="Year 4" totalsRowFunction="sum" dataDxfId="488" totalsRowDxfId="144" dataCellStyle="Currency">
      <calculatedColumnFormula>SUBTOTAL(109,E12:E12)</calculatedColumnFormula>
    </tableColumn>
    <tableColumn id="7" xr3:uid="{00000000-0010-0000-0800-000007000000}" name="Year 5" totalsRowFunction="sum" dataDxfId="487" totalsRowDxfId="143" dataCellStyle="Currency">
      <calculatedColumnFormula>SUBTOTAL(109,F12:F12)</calculatedColumnFormula>
    </tableColumn>
    <tableColumn id="8" xr3:uid="{00000000-0010-0000-0800-000008000000}" name="Year 6" totalsRowFunction="sum" dataDxfId="486" totalsRowDxfId="142" dataCellStyle="Currency">
      <calculatedColumnFormula>SUBTOTAL(109,G12:G12)</calculatedColumnFormula>
    </tableColumn>
    <tableColumn id="9" xr3:uid="{00000000-0010-0000-0800-000009000000}" name="Year 7" totalsRowFunction="sum" dataDxfId="485" totalsRowDxfId="141" dataCellStyle="Currency">
      <calculatedColumnFormula>SUBTOTAL(109,H12:H12)</calculatedColumnFormula>
    </tableColumn>
    <tableColumn id="6" xr3:uid="{00000000-0010-0000-0800-000006000000}" name="Total" totalsRowFunction="sum" dataDxfId="139" totalsRowDxfId="140" dataCellStyle="Currency">
      <calculatedColumnFormula>SUM(Table621[[#This Row],[0-6 months]:[Year 7]])</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3.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8.xml"/><Relationship Id="rId3" Type="http://schemas.openxmlformats.org/officeDocument/2006/relationships/table" Target="../tables/table13.xml"/><Relationship Id="rId7" Type="http://schemas.openxmlformats.org/officeDocument/2006/relationships/table" Target="../tables/table17.xml"/><Relationship Id="rId2" Type="http://schemas.openxmlformats.org/officeDocument/2006/relationships/table" Target="../tables/table12.xml"/><Relationship Id="rId1" Type="http://schemas.openxmlformats.org/officeDocument/2006/relationships/printerSettings" Target="../printerSettings/printerSettings4.bin"/><Relationship Id="rId6" Type="http://schemas.openxmlformats.org/officeDocument/2006/relationships/table" Target="../tables/table16.xml"/><Relationship Id="rId11" Type="http://schemas.openxmlformats.org/officeDocument/2006/relationships/table" Target="../tables/table21.xml"/><Relationship Id="rId5" Type="http://schemas.openxmlformats.org/officeDocument/2006/relationships/table" Target="../tables/table15.xml"/><Relationship Id="rId10" Type="http://schemas.openxmlformats.org/officeDocument/2006/relationships/table" Target="../tables/table20.xml"/><Relationship Id="rId4" Type="http://schemas.openxmlformats.org/officeDocument/2006/relationships/table" Target="../tables/table14.xml"/><Relationship Id="rId9" Type="http://schemas.openxmlformats.org/officeDocument/2006/relationships/table" Target="../tables/table19.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printerSettings" Target="../printerSettings/printerSettings5.bin"/><Relationship Id="rId4" Type="http://schemas.openxmlformats.org/officeDocument/2006/relationships/table" Target="../tables/table2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6.bin"/><Relationship Id="rId6" Type="http://schemas.openxmlformats.org/officeDocument/2006/relationships/table" Target="../tables/table29.xml"/><Relationship Id="rId5" Type="http://schemas.openxmlformats.org/officeDocument/2006/relationships/table" Target="../tables/table28.xml"/><Relationship Id="rId4" Type="http://schemas.openxmlformats.org/officeDocument/2006/relationships/table" Target="../tables/table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opLeftCell="A3" workbookViewId="0">
      <selection activeCell="B6" sqref="B6"/>
    </sheetView>
  </sheetViews>
  <sheetFormatPr defaultRowHeight="15" x14ac:dyDescent="0.25"/>
  <cols>
    <col min="1" max="1" width="107.5703125" style="11" customWidth="1"/>
  </cols>
  <sheetData>
    <row r="1" spans="1:1" ht="36.75" customHeight="1" x14ac:dyDescent="0.25">
      <c r="A1" s="49" t="s">
        <v>59</v>
      </c>
    </row>
    <row r="2" spans="1:1" x14ac:dyDescent="0.25">
      <c r="A2" s="7"/>
    </row>
    <row r="3" spans="1:1" x14ac:dyDescent="0.25">
      <c r="A3" s="7" t="s">
        <v>52</v>
      </c>
    </row>
    <row r="4" spans="1:1" x14ac:dyDescent="0.25">
      <c r="A4" s="7"/>
    </row>
    <row r="5" spans="1:1" s="43" customFormat="1" ht="18.75" x14ac:dyDescent="0.3">
      <c r="A5" s="47" t="s">
        <v>53</v>
      </c>
    </row>
    <row r="6" spans="1:1" ht="210" x14ac:dyDescent="0.25">
      <c r="A6" s="11" t="s">
        <v>61</v>
      </c>
    </row>
    <row r="8" spans="1:1" s="48" customFormat="1" ht="18.75" x14ac:dyDescent="0.3">
      <c r="A8" s="47" t="s">
        <v>57</v>
      </c>
    </row>
    <row r="9" spans="1:1" ht="105" x14ac:dyDescent="0.25">
      <c r="A9" s="11" t="s">
        <v>54</v>
      </c>
    </row>
    <row r="11" spans="1:1" s="48" customFormat="1" ht="18.75" x14ac:dyDescent="0.3">
      <c r="A11" s="47" t="s">
        <v>58</v>
      </c>
    </row>
    <row r="12" spans="1:1" ht="90" x14ac:dyDescent="0.25">
      <c r="A12" s="11" t="s">
        <v>60</v>
      </c>
    </row>
    <row r="14" spans="1:1" s="48" customFormat="1" ht="18.75" x14ac:dyDescent="0.3">
      <c r="A14" s="47" t="s">
        <v>55</v>
      </c>
    </row>
    <row r="15" spans="1:1" x14ac:dyDescent="0.25">
      <c r="A15" s="11"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95"/>
  <sheetViews>
    <sheetView zoomScaleNormal="100" workbookViewId="0">
      <selection activeCell="K13" sqref="K13"/>
    </sheetView>
  </sheetViews>
  <sheetFormatPr defaultRowHeight="21" customHeight="1" x14ac:dyDescent="0.25"/>
  <cols>
    <col min="1" max="1" width="21" customWidth="1"/>
    <col min="2" max="6" width="13.5703125" customWidth="1"/>
    <col min="7" max="7" width="10.85546875" style="2" customWidth="1"/>
  </cols>
  <sheetData>
    <row r="1" spans="1:12" ht="21" customHeight="1" x14ac:dyDescent="0.3">
      <c r="A1" s="50" t="s">
        <v>51</v>
      </c>
      <c r="B1" s="51"/>
      <c r="C1" s="51"/>
      <c r="D1" s="51"/>
      <c r="E1" s="51"/>
      <c r="F1" s="51"/>
      <c r="G1" s="52"/>
      <c r="H1" s="53"/>
      <c r="I1" s="53"/>
      <c r="J1" s="53"/>
      <c r="K1" s="53"/>
      <c r="L1" s="53"/>
    </row>
    <row r="2" spans="1:12" ht="21" customHeight="1" x14ac:dyDescent="0.25">
      <c r="G2" s="10"/>
    </row>
    <row r="3" spans="1:12" ht="21" customHeight="1" x14ac:dyDescent="0.25">
      <c r="A3" s="12" t="s">
        <v>6</v>
      </c>
      <c r="B3" s="13" t="s">
        <v>0</v>
      </c>
      <c r="C3" s="13" t="s">
        <v>1</v>
      </c>
      <c r="D3" s="13" t="s">
        <v>2</v>
      </c>
      <c r="E3" s="13" t="s">
        <v>3</v>
      </c>
      <c r="F3" s="14" t="s">
        <v>11</v>
      </c>
      <c r="G3" s="7"/>
    </row>
    <row r="4" spans="1:12" ht="21" customHeight="1" x14ac:dyDescent="0.25">
      <c r="A4" s="37" t="s">
        <v>4</v>
      </c>
      <c r="B4" s="38">
        <v>18500</v>
      </c>
      <c r="C4" s="38">
        <v>18500</v>
      </c>
      <c r="D4" s="38">
        <v>18500</v>
      </c>
      <c r="E4" s="38">
        <v>18500</v>
      </c>
      <c r="F4" s="39">
        <f>SUM(Table2[[#This Row],[Year 1]:[Year 4]])</f>
        <v>74000</v>
      </c>
      <c r="G4" s="7"/>
    </row>
    <row r="5" spans="1:12" ht="21" customHeight="1" x14ac:dyDescent="0.25">
      <c r="A5" s="37" t="s">
        <v>5</v>
      </c>
      <c r="B5" s="38">
        <v>5500</v>
      </c>
      <c r="C5" s="38">
        <v>5500</v>
      </c>
      <c r="D5" s="38">
        <v>5500</v>
      </c>
      <c r="E5" s="38">
        <v>5500</v>
      </c>
      <c r="F5" s="39">
        <f>SUM(Table2[[#This Row],[Year 1]:[Year 4]])</f>
        <v>22000</v>
      </c>
      <c r="G5" s="7"/>
    </row>
    <row r="6" spans="1:12" ht="21" customHeight="1" x14ac:dyDescent="0.25">
      <c r="A6" s="22" t="s">
        <v>11</v>
      </c>
      <c r="B6" s="33">
        <f>SUBTOTAL(109,Table2[Year 1])</f>
        <v>24000</v>
      </c>
      <c r="C6" s="33">
        <f>SUBTOTAL(109,Table2[Year 2])</f>
        <v>24000</v>
      </c>
      <c r="D6" s="33">
        <f>SUBTOTAL(109,Table2[Year 3])</f>
        <v>24000</v>
      </c>
      <c r="E6" s="33">
        <f>SUBTOTAL(109,Table2[Year 4])</f>
        <v>24000</v>
      </c>
      <c r="F6" s="31">
        <f>SUBTOTAL(109,Table2[Total])</f>
        <v>96000</v>
      </c>
      <c r="G6" s="7"/>
    </row>
    <row r="7" spans="1:12" ht="39.950000000000003" customHeight="1" x14ac:dyDescent="0.25">
      <c r="G7" s="7"/>
    </row>
    <row r="8" spans="1:12" ht="21" customHeight="1" x14ac:dyDescent="0.25">
      <c r="A8" s="12" t="s">
        <v>7</v>
      </c>
      <c r="B8" s="13" t="s">
        <v>0</v>
      </c>
      <c r="C8" s="13" t="s">
        <v>1</v>
      </c>
      <c r="D8" s="13" t="s">
        <v>2</v>
      </c>
      <c r="E8" s="13" t="s">
        <v>3</v>
      </c>
      <c r="F8" s="14" t="s">
        <v>11</v>
      </c>
      <c r="G8" s="7"/>
    </row>
    <row r="9" spans="1:12" ht="21" customHeight="1" x14ac:dyDescent="0.25">
      <c r="A9" s="15"/>
      <c r="B9" s="16">
        <f t="shared" ref="B9:D9" si="0">SUBTOTAL(109,B8)</f>
        <v>0</v>
      </c>
      <c r="C9" s="16">
        <f t="shared" si="0"/>
        <v>0</v>
      </c>
      <c r="D9" s="16">
        <f t="shared" si="0"/>
        <v>0</v>
      </c>
      <c r="E9" s="16">
        <f t="shared" ref="E9" si="1">SUBTOTAL(109,E8)</f>
        <v>0</v>
      </c>
      <c r="F9" s="17">
        <f>SUM(Table3[[#This Row],[Year 1]:[Year 4]])</f>
        <v>0</v>
      </c>
      <c r="G9" s="7"/>
    </row>
    <row r="10" spans="1:12" ht="15" x14ac:dyDescent="0.25">
      <c r="A10" s="22" t="s">
        <v>11</v>
      </c>
      <c r="B10" s="33">
        <f>SUBTOTAL(109,Table3[Year 1])</f>
        <v>0</v>
      </c>
      <c r="C10" s="33">
        <f>SUBTOTAL(109,Table3[Year 2])</f>
        <v>0</v>
      </c>
      <c r="D10" s="33">
        <f>SUBTOTAL(109,Table3[Year 3])</f>
        <v>0</v>
      </c>
      <c r="E10" s="33">
        <f>SUBTOTAL(109,Table3[Year 4])</f>
        <v>0</v>
      </c>
      <c r="F10" s="31">
        <f>SUBTOTAL(109,Table3[Total])</f>
        <v>0</v>
      </c>
    </row>
    <row r="11" spans="1:12" ht="39.950000000000003" customHeight="1" x14ac:dyDescent="0.25">
      <c r="G11" s="7"/>
    </row>
    <row r="12" spans="1:12" ht="21" customHeight="1" x14ac:dyDescent="0.25">
      <c r="A12" s="12" t="s">
        <v>8</v>
      </c>
      <c r="B12" s="13" t="s">
        <v>0</v>
      </c>
      <c r="C12" s="13" t="s">
        <v>1</v>
      </c>
      <c r="D12" s="13" t="s">
        <v>2</v>
      </c>
      <c r="E12" s="13" t="s">
        <v>3</v>
      </c>
      <c r="F12" s="14" t="s">
        <v>11</v>
      </c>
      <c r="G12" s="7"/>
    </row>
    <row r="13" spans="1:12" ht="21" customHeight="1" x14ac:dyDescent="0.25">
      <c r="A13" s="29"/>
      <c r="B13" s="16">
        <v>0</v>
      </c>
      <c r="C13" s="16">
        <v>0</v>
      </c>
      <c r="D13" s="16">
        <v>0</v>
      </c>
      <c r="E13" s="16">
        <v>0</v>
      </c>
      <c r="F13" s="17">
        <f>SUM(Table5[[#This Row],[Year 1]:[Year 4]])</f>
        <v>0</v>
      </c>
      <c r="G13" s="7"/>
    </row>
    <row r="14" spans="1:12" ht="21" customHeight="1" x14ac:dyDescent="0.25">
      <c r="A14" s="29"/>
      <c r="B14" s="16">
        <v>0</v>
      </c>
      <c r="C14" s="16">
        <v>0</v>
      </c>
      <c r="D14" s="16">
        <v>0</v>
      </c>
      <c r="E14" s="16">
        <v>0</v>
      </c>
      <c r="F14" s="17">
        <f>SUM(Table5[[#This Row],[Year 1]:[Year 4]])</f>
        <v>0</v>
      </c>
      <c r="G14" s="7"/>
    </row>
    <row r="15" spans="1:12" ht="21" customHeight="1" x14ac:dyDescent="0.25">
      <c r="A15" s="29"/>
      <c r="B15" s="16">
        <v>0</v>
      </c>
      <c r="C15" s="16">
        <v>0</v>
      </c>
      <c r="D15" s="16">
        <v>0</v>
      </c>
      <c r="E15" s="16">
        <v>0</v>
      </c>
      <c r="F15" s="17">
        <f>SUM(Table5[[#This Row],[Year 1]:[Year 4]])</f>
        <v>0</v>
      </c>
      <c r="G15" s="7"/>
    </row>
    <row r="16" spans="1:12" ht="21" customHeight="1" x14ac:dyDescent="0.25">
      <c r="A16" s="22" t="s">
        <v>11</v>
      </c>
      <c r="B16" s="33">
        <f>SUBTOTAL(109,Table5[Year 1])</f>
        <v>0</v>
      </c>
      <c r="C16" s="33">
        <f>SUBTOTAL(109,Table5[Year 2])</f>
        <v>0</v>
      </c>
      <c r="D16" s="33">
        <f>SUBTOTAL(109,Table5[Year 3])</f>
        <v>0</v>
      </c>
      <c r="E16" s="33">
        <f>SUBTOTAL(109,Table5[Year 4])</f>
        <v>0</v>
      </c>
      <c r="F16" s="31">
        <f>SUBTOTAL(109,Table5[Total])</f>
        <v>0</v>
      </c>
      <c r="G16" s="7"/>
    </row>
    <row r="17" spans="1:7" ht="39.950000000000003" customHeight="1" x14ac:dyDescent="0.25">
      <c r="G17" s="7"/>
    </row>
    <row r="18" spans="1:7" ht="21" customHeight="1" x14ac:dyDescent="0.25">
      <c r="A18" s="12" t="s">
        <v>9</v>
      </c>
      <c r="B18" s="13" t="s">
        <v>0</v>
      </c>
      <c r="C18" s="13" t="s">
        <v>1</v>
      </c>
      <c r="D18" s="13" t="s">
        <v>2</v>
      </c>
      <c r="E18" s="13" t="s">
        <v>3</v>
      </c>
      <c r="F18" s="14" t="s">
        <v>11</v>
      </c>
      <c r="G18" s="7"/>
    </row>
    <row r="19" spans="1:7" ht="21" customHeight="1" x14ac:dyDescent="0.25">
      <c r="A19" s="29"/>
      <c r="B19" s="16">
        <v>0</v>
      </c>
      <c r="C19" s="16">
        <v>0</v>
      </c>
      <c r="D19" s="16">
        <v>0</v>
      </c>
      <c r="E19" s="16">
        <v>0</v>
      </c>
      <c r="F19" s="17">
        <f>SUM(Table6[[#This Row],[Year 1]:[Year 4]])</f>
        <v>0</v>
      </c>
      <c r="G19" s="7"/>
    </row>
    <row r="20" spans="1:7" ht="21" customHeight="1" x14ac:dyDescent="0.25">
      <c r="A20" s="29"/>
      <c r="B20" s="16">
        <v>0</v>
      </c>
      <c r="C20" s="16">
        <v>0</v>
      </c>
      <c r="D20" s="16">
        <v>0</v>
      </c>
      <c r="E20" s="16">
        <v>0</v>
      </c>
      <c r="F20" s="17">
        <f>SUM(Table6[[#This Row],[Year 1]:[Year 4]])</f>
        <v>0</v>
      </c>
      <c r="G20" s="7"/>
    </row>
    <row r="21" spans="1:7" ht="21" customHeight="1" x14ac:dyDescent="0.25">
      <c r="A21" s="29"/>
      <c r="B21" s="16">
        <v>0</v>
      </c>
      <c r="C21" s="16">
        <v>0</v>
      </c>
      <c r="D21" s="16">
        <v>0</v>
      </c>
      <c r="E21" s="16">
        <v>0</v>
      </c>
      <c r="F21" s="17">
        <f>SUM(Table6[[#This Row],[Year 1]:[Year 4]])</f>
        <v>0</v>
      </c>
      <c r="G21" s="7"/>
    </row>
    <row r="22" spans="1:7" ht="21" customHeight="1" x14ac:dyDescent="0.25">
      <c r="A22" s="22" t="s">
        <v>11</v>
      </c>
      <c r="B22" s="33">
        <f>SUBTOTAL(109,Table6[Year 1])</f>
        <v>0</v>
      </c>
      <c r="C22" s="33">
        <f>SUBTOTAL(109,Table6[Year 2])</f>
        <v>0</v>
      </c>
      <c r="D22" s="33">
        <f>SUBTOTAL(109,Table6[Year 3])</f>
        <v>0</v>
      </c>
      <c r="E22" s="33">
        <f>SUBTOTAL(109,Table6[Year 4])</f>
        <v>0</v>
      </c>
      <c r="F22" s="31">
        <f>SUBTOTAL(109,Table6[Total])</f>
        <v>0</v>
      </c>
      <c r="G22" s="7"/>
    </row>
    <row r="23" spans="1:7" ht="39.950000000000003" customHeight="1" x14ac:dyDescent="0.25">
      <c r="G23" s="7"/>
    </row>
    <row r="24" spans="1:7" ht="21" customHeight="1" x14ac:dyDescent="0.25">
      <c r="A24" s="12" t="s">
        <v>10</v>
      </c>
      <c r="B24" s="13" t="s">
        <v>0</v>
      </c>
      <c r="C24" s="13" t="s">
        <v>1</v>
      </c>
      <c r="D24" s="13" t="s">
        <v>2</v>
      </c>
      <c r="E24" s="13" t="s">
        <v>3</v>
      </c>
      <c r="F24" s="14" t="s">
        <v>11</v>
      </c>
      <c r="G24" s="7"/>
    </row>
    <row r="25" spans="1:7" ht="21" customHeight="1" x14ac:dyDescent="0.25">
      <c r="A25" s="15"/>
      <c r="B25" s="16">
        <v>0</v>
      </c>
      <c r="C25" s="16">
        <v>0</v>
      </c>
      <c r="D25" s="16">
        <v>0</v>
      </c>
      <c r="E25" s="16">
        <v>0</v>
      </c>
      <c r="F25" s="17">
        <f>SUM(Table8[[#This Row],[Year 1]:[Year 4]])</f>
        <v>0</v>
      </c>
      <c r="G25" s="7"/>
    </row>
    <row r="26" spans="1:7" ht="21" customHeight="1" x14ac:dyDescent="0.25">
      <c r="A26" s="15"/>
      <c r="B26" s="16">
        <v>0</v>
      </c>
      <c r="C26" s="16">
        <v>0</v>
      </c>
      <c r="D26" s="16">
        <v>0</v>
      </c>
      <c r="E26" s="16">
        <v>0</v>
      </c>
      <c r="F26" s="17">
        <f>SUM(Table8[[#This Row],[Year 1]:[Year 4]])</f>
        <v>0</v>
      </c>
      <c r="G26" s="7"/>
    </row>
    <row r="27" spans="1:7" ht="21" customHeight="1" x14ac:dyDescent="0.25">
      <c r="A27" s="15"/>
      <c r="B27" s="16">
        <v>0</v>
      </c>
      <c r="C27" s="16">
        <v>0</v>
      </c>
      <c r="D27" s="16">
        <v>0</v>
      </c>
      <c r="E27" s="16">
        <v>0</v>
      </c>
      <c r="F27" s="17">
        <f>SUM(Table8[[#This Row],[Year 1]:[Year 4]])</f>
        <v>0</v>
      </c>
      <c r="G27" s="7"/>
    </row>
    <row r="28" spans="1:7" ht="21" customHeight="1" x14ac:dyDescent="0.25">
      <c r="A28" s="22" t="s">
        <v>11</v>
      </c>
      <c r="B28" s="33">
        <f>SUBTOTAL(109,Table8[Year 1])</f>
        <v>0</v>
      </c>
      <c r="C28" s="33">
        <f>SUBTOTAL(109,Table8[Year 2])</f>
        <v>0</v>
      </c>
      <c r="D28" s="33">
        <f>SUBTOTAL(109,Table8[Year 3])</f>
        <v>0</v>
      </c>
      <c r="E28" s="33">
        <f>SUBTOTAL(109,Table8[Year 4])</f>
        <v>0</v>
      </c>
      <c r="F28" s="31">
        <f>SUBTOTAL(109,Table8[Total])</f>
        <v>0</v>
      </c>
      <c r="G28" s="7"/>
    </row>
    <row r="29" spans="1:7" ht="39.950000000000003" customHeight="1" x14ac:dyDescent="0.25">
      <c r="G29" s="7"/>
    </row>
    <row r="30" spans="1:7" s="1" customFormat="1" ht="21" customHeight="1" x14ac:dyDescent="0.25">
      <c r="A30" t="s">
        <v>12</v>
      </c>
      <c r="B30" t="s">
        <v>0</v>
      </c>
      <c r="C30" t="s">
        <v>1</v>
      </c>
      <c r="D30" t="s">
        <v>2</v>
      </c>
      <c r="E30" t="s">
        <v>3</v>
      </c>
      <c r="F30" t="s">
        <v>11</v>
      </c>
      <c r="G30" s="8"/>
    </row>
    <row r="31" spans="1:7" ht="21" customHeight="1" x14ac:dyDescent="0.25">
      <c r="A31" t="s">
        <v>6</v>
      </c>
      <c r="B31" s="3">
        <f>Table2[[#Totals],[Year 1]]</f>
        <v>24000</v>
      </c>
      <c r="C31" s="3">
        <f>Table2[[#Totals],[Year 2]]</f>
        <v>24000</v>
      </c>
      <c r="D31" s="3">
        <f>Table2[[#Totals],[Year 3]]</f>
        <v>24000</v>
      </c>
      <c r="E31" s="3">
        <f>Table2[[#Totals],[Year 4]]</f>
        <v>24000</v>
      </c>
      <c r="F31" s="3">
        <f>SUM(Table9[[#This Row],[Year 1]:[Year 4]])</f>
        <v>96000</v>
      </c>
      <c r="G31" s="7"/>
    </row>
    <row r="32" spans="1:7" ht="21" customHeight="1" x14ac:dyDescent="0.25">
      <c r="A32" t="s">
        <v>7</v>
      </c>
      <c r="B32" s="3">
        <f>Table3[[#Totals],[Year 1]]</f>
        <v>0</v>
      </c>
      <c r="C32" s="3">
        <f>Table3[[#Totals],[Year 2]]</f>
        <v>0</v>
      </c>
      <c r="D32" s="3">
        <f>Table3[[#Totals],[Year 3]]</f>
        <v>0</v>
      </c>
      <c r="E32" s="3">
        <f>Table3[[#Totals],[Year 4]]</f>
        <v>0</v>
      </c>
      <c r="F32" s="3">
        <f>SUM(Table9[[#This Row],[Year 1]:[Year 4]])</f>
        <v>0</v>
      </c>
      <c r="G32" s="7"/>
    </row>
    <row r="33" spans="1:7" ht="21" customHeight="1" x14ac:dyDescent="0.25">
      <c r="A33" t="s">
        <v>8</v>
      </c>
      <c r="B33" s="3">
        <f>Table5[[#Totals],[Year 1]]</f>
        <v>0</v>
      </c>
      <c r="C33" s="3">
        <f>Table5[[#Totals],[Year 2]]</f>
        <v>0</v>
      </c>
      <c r="D33" s="3">
        <f>Table5[[#Totals],[Year 3]]</f>
        <v>0</v>
      </c>
      <c r="E33" s="3">
        <f>Table5[[#Totals],[Year 4]]</f>
        <v>0</v>
      </c>
      <c r="F33" s="3">
        <f>SUM(Table9[[#This Row],[Year 1]:[Year 4]])</f>
        <v>0</v>
      </c>
      <c r="G33" s="7"/>
    </row>
    <row r="34" spans="1:7" ht="21" customHeight="1" x14ac:dyDescent="0.25">
      <c r="A34" t="s">
        <v>9</v>
      </c>
      <c r="B34" s="3">
        <f>Table6[[#Totals],[Year 1]]</f>
        <v>0</v>
      </c>
      <c r="C34" s="3">
        <f>Table6[[#Totals],[Year 2]]</f>
        <v>0</v>
      </c>
      <c r="D34" s="3">
        <f>Table6[[#Totals],[Year 3]]</f>
        <v>0</v>
      </c>
      <c r="E34" s="3">
        <f>Table6[[#Totals],[Year 4]]</f>
        <v>0</v>
      </c>
      <c r="F34" s="3">
        <f>SUM(Table9[[#This Row],[Year 1]:[Year 4]])</f>
        <v>0</v>
      </c>
      <c r="G34" s="7"/>
    </row>
    <row r="35" spans="1:7" ht="21" customHeight="1" x14ac:dyDescent="0.25">
      <c r="A35" t="s">
        <v>10</v>
      </c>
      <c r="B35" s="3">
        <f>Table8[[#Totals],[Year 1]]</f>
        <v>0</v>
      </c>
      <c r="C35" s="3">
        <f>Table8[[#Totals],[Year 2]]</f>
        <v>0</v>
      </c>
      <c r="D35" s="3">
        <f>Table8[[#Totals],[Year 3]]</f>
        <v>0</v>
      </c>
      <c r="E35" s="3">
        <f>Table8[[#Totals],[Year 4]]</f>
        <v>0</v>
      </c>
      <c r="F35" s="3">
        <f>SUM(Table9[[#This Row],[Year 1]:[Year 4]])</f>
        <v>0</v>
      </c>
      <c r="G35" s="7"/>
    </row>
    <row r="36" spans="1:7" ht="21" customHeight="1" x14ac:dyDescent="0.25">
      <c r="A36" s="1" t="s">
        <v>11</v>
      </c>
      <c r="B36" s="4">
        <f>SUBTOTAL(109,B31:B35)</f>
        <v>24000</v>
      </c>
      <c r="C36" s="4">
        <f>SUBTOTAL(109,C31:C35)</f>
        <v>24000</v>
      </c>
      <c r="D36" s="4">
        <f>SUBTOTAL(109,D31:D35)</f>
        <v>24000</v>
      </c>
      <c r="E36" s="4">
        <f>SUBTOTAL(109,E31:E35)</f>
        <v>24000</v>
      </c>
      <c r="F36" s="4">
        <f>SUM(Table9[[#This Row],[Year 1]:[Year 4]])</f>
        <v>96000</v>
      </c>
      <c r="G36" s="7"/>
    </row>
    <row r="37" spans="1:7" ht="21" customHeight="1" x14ac:dyDescent="0.25">
      <c r="G37" s="7"/>
    </row>
    <row r="38" spans="1:7" ht="21" customHeight="1" x14ac:dyDescent="0.25">
      <c r="G38" s="7"/>
    </row>
    <row r="39" spans="1:7" ht="21" customHeight="1" x14ac:dyDescent="0.25">
      <c r="G39" s="7"/>
    </row>
    <row r="40" spans="1:7" ht="21" customHeight="1" x14ac:dyDescent="0.25">
      <c r="G40" s="7"/>
    </row>
    <row r="41" spans="1:7" ht="21" customHeight="1" x14ac:dyDescent="0.25">
      <c r="G41" s="7"/>
    </row>
    <row r="42" spans="1:7" ht="21" customHeight="1" x14ac:dyDescent="0.25">
      <c r="G42" s="7"/>
    </row>
    <row r="43" spans="1:7" ht="21" customHeight="1" x14ac:dyDescent="0.25">
      <c r="G43" s="7"/>
    </row>
    <row r="44" spans="1:7" ht="21" customHeight="1" x14ac:dyDescent="0.25">
      <c r="G44" s="7"/>
    </row>
    <row r="45" spans="1:7" ht="21" customHeight="1" x14ac:dyDescent="0.25">
      <c r="G45" s="7"/>
    </row>
    <row r="46" spans="1:7" ht="21" customHeight="1" x14ac:dyDescent="0.25">
      <c r="G46" s="7"/>
    </row>
    <row r="47" spans="1:7" ht="21" customHeight="1" x14ac:dyDescent="0.25">
      <c r="G47" s="7"/>
    </row>
    <row r="48" spans="1:7" ht="21" customHeight="1" x14ac:dyDescent="0.25">
      <c r="G48" s="7"/>
    </row>
    <row r="49" spans="7:7" ht="21" customHeight="1" x14ac:dyDescent="0.25">
      <c r="G49" s="7"/>
    </row>
    <row r="50" spans="7:7" ht="21" customHeight="1" x14ac:dyDescent="0.25">
      <c r="G50" s="7"/>
    </row>
    <row r="51" spans="7:7" ht="21" customHeight="1" x14ac:dyDescent="0.25">
      <c r="G51" s="7"/>
    </row>
    <row r="52" spans="7:7" ht="21" customHeight="1" x14ac:dyDescent="0.25">
      <c r="G52" s="7"/>
    </row>
    <row r="53" spans="7:7" ht="21" customHeight="1" x14ac:dyDescent="0.25">
      <c r="G53" s="7"/>
    </row>
    <row r="54" spans="7:7" ht="21" customHeight="1" x14ac:dyDescent="0.25">
      <c r="G54" s="7"/>
    </row>
    <row r="55" spans="7:7" ht="21" customHeight="1" x14ac:dyDescent="0.25">
      <c r="G55" s="7"/>
    </row>
    <row r="56" spans="7:7" ht="21" customHeight="1" x14ac:dyDescent="0.25">
      <c r="G56" s="7"/>
    </row>
    <row r="57" spans="7:7" ht="21" customHeight="1" x14ac:dyDescent="0.25">
      <c r="G57" s="7"/>
    </row>
    <row r="58" spans="7:7" ht="21" customHeight="1" x14ac:dyDescent="0.25">
      <c r="G58" s="7"/>
    </row>
    <row r="59" spans="7:7" ht="21" customHeight="1" x14ac:dyDescent="0.25">
      <c r="G59" s="7"/>
    </row>
    <row r="60" spans="7:7" ht="21" customHeight="1" x14ac:dyDescent="0.25">
      <c r="G60" s="7"/>
    </row>
    <row r="61" spans="7:7" ht="21" customHeight="1" x14ac:dyDescent="0.25">
      <c r="G61" s="7"/>
    </row>
    <row r="62" spans="7:7" ht="21" customHeight="1" x14ac:dyDescent="0.25">
      <c r="G62" s="7"/>
    </row>
    <row r="63" spans="7:7" ht="21" customHeight="1" x14ac:dyDescent="0.25">
      <c r="G63" s="7"/>
    </row>
    <row r="64" spans="7:7" ht="21" customHeight="1" x14ac:dyDescent="0.25">
      <c r="G64" s="7"/>
    </row>
    <row r="65" spans="7:7" ht="21" customHeight="1" x14ac:dyDescent="0.25">
      <c r="G65" s="7"/>
    </row>
    <row r="66" spans="7:7" ht="21" customHeight="1" x14ac:dyDescent="0.25">
      <c r="G66" s="7"/>
    </row>
    <row r="67" spans="7:7" ht="21" customHeight="1" x14ac:dyDescent="0.25">
      <c r="G67" s="7"/>
    </row>
    <row r="68" spans="7:7" ht="21" customHeight="1" x14ac:dyDescent="0.25">
      <c r="G68" s="7"/>
    </row>
    <row r="69" spans="7:7" ht="21" customHeight="1" x14ac:dyDescent="0.25">
      <c r="G69" s="7"/>
    </row>
    <row r="70" spans="7:7" ht="21" customHeight="1" x14ac:dyDescent="0.25">
      <c r="G70" s="7"/>
    </row>
    <row r="71" spans="7:7" ht="21" customHeight="1" x14ac:dyDescent="0.25">
      <c r="G71" s="7"/>
    </row>
    <row r="72" spans="7:7" ht="21" customHeight="1" x14ac:dyDescent="0.25">
      <c r="G72" s="7"/>
    </row>
    <row r="73" spans="7:7" ht="21" customHeight="1" x14ac:dyDescent="0.25">
      <c r="G73" s="7"/>
    </row>
    <row r="74" spans="7:7" ht="21" customHeight="1" x14ac:dyDescent="0.25">
      <c r="G74" s="7"/>
    </row>
    <row r="75" spans="7:7" ht="21" customHeight="1" x14ac:dyDescent="0.25">
      <c r="G75" s="7"/>
    </row>
    <row r="76" spans="7:7" ht="21" customHeight="1" x14ac:dyDescent="0.25">
      <c r="G76" s="7"/>
    </row>
    <row r="77" spans="7:7" ht="21" customHeight="1" x14ac:dyDescent="0.25">
      <c r="G77" s="7"/>
    </row>
    <row r="78" spans="7:7" ht="21" customHeight="1" x14ac:dyDescent="0.25">
      <c r="G78" s="7"/>
    </row>
    <row r="79" spans="7:7" ht="21" customHeight="1" x14ac:dyDescent="0.25">
      <c r="G79" s="7"/>
    </row>
    <row r="80" spans="7:7" ht="21" customHeight="1" x14ac:dyDescent="0.25">
      <c r="G80" s="7"/>
    </row>
    <row r="81" spans="7:7" ht="21" customHeight="1" x14ac:dyDescent="0.25">
      <c r="G81" s="7"/>
    </row>
    <row r="82" spans="7:7" ht="21" customHeight="1" x14ac:dyDescent="0.25">
      <c r="G82" s="7"/>
    </row>
    <row r="83" spans="7:7" ht="21" customHeight="1" x14ac:dyDescent="0.25">
      <c r="G83" s="7"/>
    </row>
    <row r="84" spans="7:7" ht="21" customHeight="1" x14ac:dyDescent="0.25">
      <c r="G84" s="7"/>
    </row>
    <row r="85" spans="7:7" ht="21" customHeight="1" x14ac:dyDescent="0.25">
      <c r="G85" s="7"/>
    </row>
    <row r="86" spans="7:7" ht="21" customHeight="1" x14ac:dyDescent="0.25">
      <c r="G86" s="7"/>
    </row>
    <row r="87" spans="7:7" ht="21" customHeight="1" x14ac:dyDescent="0.25">
      <c r="G87" s="7"/>
    </row>
    <row r="88" spans="7:7" ht="21" customHeight="1" x14ac:dyDescent="0.25">
      <c r="G88" s="7"/>
    </row>
    <row r="89" spans="7:7" ht="21" customHeight="1" x14ac:dyDescent="0.25">
      <c r="G89" s="7"/>
    </row>
    <row r="90" spans="7:7" ht="21" customHeight="1" x14ac:dyDescent="0.25">
      <c r="G90" s="7"/>
    </row>
    <row r="91" spans="7:7" ht="21" customHeight="1" x14ac:dyDescent="0.25">
      <c r="G91" s="7"/>
    </row>
    <row r="92" spans="7:7" ht="21" customHeight="1" x14ac:dyDescent="0.25">
      <c r="G92" s="7"/>
    </row>
    <row r="93" spans="7:7" ht="21" customHeight="1" x14ac:dyDescent="0.25">
      <c r="G93" s="7"/>
    </row>
    <row r="94" spans="7:7" ht="21" customHeight="1" x14ac:dyDescent="0.25">
      <c r="G94" s="7"/>
    </row>
    <row r="95" spans="7:7" ht="21" customHeight="1" x14ac:dyDescent="0.25">
      <c r="G95" s="7"/>
    </row>
  </sheetData>
  <mergeCells count="2">
    <mergeCell ref="A1:F1"/>
    <mergeCell ref="G1:L1"/>
  </mergeCells>
  <printOptions horizontalCentered="1"/>
  <pageMargins left="0.25" right="0.25" top="0.75" bottom="0.75" header="0.3" footer="0.3"/>
  <pageSetup paperSize="9" scale="89" orientation="portrait" r:id="rId1"/>
  <ignoredErrors>
    <ignoredError sqref="B14:B15 B19:B21 B25:E25 B36 B26:B27 C27:E27 C26:E26 B31:B34 B35" calculatedColumn="1"/>
  </ignoredErrors>
  <tableParts count="6">
    <tablePart r:id="rId2"/>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Z29"/>
  <sheetViews>
    <sheetView zoomScaleNormal="100" workbookViewId="0">
      <selection activeCell="J23" sqref="J23"/>
    </sheetView>
  </sheetViews>
  <sheetFormatPr defaultRowHeight="15" x14ac:dyDescent="0.25"/>
  <cols>
    <col min="1" max="1" width="21" customWidth="1"/>
    <col min="2" max="10" width="13.85546875" customWidth="1"/>
    <col min="11" max="14" width="13.5703125" customWidth="1"/>
    <col min="17" max="17" width="21" customWidth="1"/>
    <col min="18" max="22" width="13.5703125" customWidth="1"/>
  </cols>
  <sheetData>
    <row r="1" spans="1:26" ht="18.75" x14ac:dyDescent="0.3">
      <c r="A1" s="43" t="s">
        <v>46</v>
      </c>
    </row>
    <row r="3" spans="1:26" x14ac:dyDescent="0.25">
      <c r="A3" s="12" t="s">
        <v>6</v>
      </c>
      <c r="B3" s="40" t="s">
        <v>47</v>
      </c>
      <c r="C3" s="13" t="s">
        <v>0</v>
      </c>
      <c r="D3" s="13" t="s">
        <v>1</v>
      </c>
      <c r="E3" s="13" t="s">
        <v>2</v>
      </c>
      <c r="F3" s="13" t="s">
        <v>3</v>
      </c>
      <c r="G3" s="13" t="s">
        <v>13</v>
      </c>
      <c r="H3" s="13" t="s">
        <v>14</v>
      </c>
      <c r="I3" s="13" t="s">
        <v>15</v>
      </c>
      <c r="J3" s="14" t="s">
        <v>11</v>
      </c>
      <c r="M3" s="1"/>
      <c r="U3" s="1"/>
    </row>
    <row r="4" spans="1:26" x14ac:dyDescent="0.25">
      <c r="A4" s="25" t="s">
        <v>24</v>
      </c>
      <c r="B4" s="16">
        <v>0</v>
      </c>
      <c r="C4" s="16">
        <v>0</v>
      </c>
      <c r="D4" s="16">
        <v>0</v>
      </c>
      <c r="E4" s="16">
        <v>0</v>
      </c>
      <c r="F4" s="16">
        <v>0</v>
      </c>
      <c r="G4" s="16">
        <v>0</v>
      </c>
      <c r="H4" s="16">
        <v>0</v>
      </c>
      <c r="I4" s="16">
        <v>0</v>
      </c>
      <c r="J4" s="17">
        <f>SUM(Table218[[0-6 months]:[Year 7]])</f>
        <v>0</v>
      </c>
      <c r="N4" s="3"/>
      <c r="O4" s="3"/>
      <c r="P4" s="3"/>
      <c r="Q4" s="3"/>
      <c r="R4" s="3"/>
      <c r="V4" s="3"/>
      <c r="W4" s="3"/>
      <c r="X4" s="3"/>
      <c r="Y4" s="3"/>
      <c r="Z4" s="3"/>
    </row>
    <row r="5" spans="1:26" x14ac:dyDescent="0.25">
      <c r="A5" s="22" t="s">
        <v>11</v>
      </c>
      <c r="B5" s="33">
        <f>SUBTOTAL(109,Table218[0-6 months])</f>
        <v>0</v>
      </c>
      <c r="C5" s="33">
        <f>SUBTOTAL(109,Table218[Year 1])</f>
        <v>0</v>
      </c>
      <c r="D5" s="33">
        <f>SUBTOTAL(109,Table218[Year 2])</f>
        <v>0</v>
      </c>
      <c r="E5" s="33">
        <f>SUBTOTAL(109,Table218[Year 3])</f>
        <v>0</v>
      </c>
      <c r="F5" s="33">
        <f>SUBTOTAL(109,Table218[Year 4])</f>
        <v>0</v>
      </c>
      <c r="G5" s="33">
        <f>SUBTOTAL(109,Table218[Year 5])</f>
        <v>0</v>
      </c>
      <c r="H5" s="33">
        <f>SUBTOTAL(109,Table218[Year 6])</f>
        <v>0</v>
      </c>
      <c r="I5" s="33">
        <f>SUBTOTAL(109,Table218[Year 7])</f>
        <v>0</v>
      </c>
      <c r="J5" s="31">
        <f>SUBTOTAL(109,Table218[Total])</f>
        <v>0</v>
      </c>
    </row>
    <row r="6" spans="1:26" ht="39.950000000000003" customHeight="1" x14ac:dyDescent="0.25">
      <c r="M6" s="1"/>
      <c r="U6" s="1"/>
    </row>
    <row r="7" spans="1:26" x14ac:dyDescent="0.25">
      <c r="A7" s="12" t="s">
        <v>25</v>
      </c>
      <c r="B7" s="40" t="s">
        <v>47</v>
      </c>
      <c r="C7" s="13" t="s">
        <v>0</v>
      </c>
      <c r="D7" s="13" t="s">
        <v>1</v>
      </c>
      <c r="E7" s="13" t="s">
        <v>2</v>
      </c>
      <c r="F7" s="13" t="s">
        <v>3</v>
      </c>
      <c r="G7" s="13" t="s">
        <v>13</v>
      </c>
      <c r="H7" s="13" t="s">
        <v>14</v>
      </c>
      <c r="I7" s="13" t="s">
        <v>15</v>
      </c>
      <c r="J7" s="14" t="s">
        <v>11</v>
      </c>
      <c r="M7" s="1"/>
      <c r="N7" s="3"/>
      <c r="O7" s="3"/>
      <c r="P7" s="3"/>
      <c r="Q7" s="3"/>
      <c r="R7" s="3"/>
      <c r="U7" s="1"/>
      <c r="V7" s="3"/>
      <c r="W7" s="3"/>
      <c r="X7" s="3"/>
      <c r="Y7" s="3"/>
      <c r="Z7" s="3"/>
    </row>
    <row r="8" spans="1:26" x14ac:dyDescent="0.25">
      <c r="A8" s="29"/>
      <c r="B8" s="16">
        <v>0</v>
      </c>
      <c r="C8" s="16">
        <v>0</v>
      </c>
      <c r="D8" s="16">
        <v>0</v>
      </c>
      <c r="E8" s="16">
        <v>0</v>
      </c>
      <c r="F8" s="16">
        <v>0</v>
      </c>
      <c r="G8" s="16">
        <v>0</v>
      </c>
      <c r="H8" s="16">
        <v>0</v>
      </c>
      <c r="I8" s="16">
        <v>0</v>
      </c>
      <c r="J8" s="17">
        <f>SUM(Table520[[#This Row],[0-6 months]:[Year 7]])</f>
        <v>0</v>
      </c>
      <c r="N8" s="3"/>
      <c r="O8" s="3"/>
      <c r="P8" s="3"/>
      <c r="Q8" s="3"/>
      <c r="R8" s="3"/>
      <c r="V8" s="3"/>
      <c r="W8" s="3"/>
      <c r="X8" s="3"/>
      <c r="Y8" s="3"/>
      <c r="Z8" s="3"/>
    </row>
    <row r="9" spans="1:26" x14ac:dyDescent="0.25">
      <c r="A9" s="15"/>
      <c r="B9" s="16">
        <v>0</v>
      </c>
      <c r="C9" s="16">
        <v>0</v>
      </c>
      <c r="D9" s="16">
        <v>0</v>
      </c>
      <c r="E9" s="16">
        <v>0</v>
      </c>
      <c r="F9" s="16">
        <v>0</v>
      </c>
      <c r="G9" s="16">
        <v>0</v>
      </c>
      <c r="H9" s="16">
        <v>0</v>
      </c>
      <c r="I9" s="16">
        <v>0</v>
      </c>
      <c r="J9" s="17">
        <f>SUM(Table520[[#This Row],[0-6 months]:[Year 7]])</f>
        <v>0</v>
      </c>
    </row>
    <row r="10" spans="1:26" x14ac:dyDescent="0.25">
      <c r="A10" s="22" t="s">
        <v>11</v>
      </c>
      <c r="B10" s="33">
        <f>SUBTOTAL(109,Table520[0-6 months])</f>
        <v>0</v>
      </c>
      <c r="C10" s="33">
        <f>SUBTOTAL(109,Table520[Year 1])</f>
        <v>0</v>
      </c>
      <c r="D10" s="33">
        <f>SUBTOTAL(109,Table520[Year 2])</f>
        <v>0</v>
      </c>
      <c r="E10" s="33">
        <f>SUBTOTAL(109,Table520[Year 3])</f>
        <v>0</v>
      </c>
      <c r="F10" s="33">
        <f>SUBTOTAL(109,Table520[Year 4])</f>
        <v>0</v>
      </c>
      <c r="G10" s="33">
        <f>SUBTOTAL(109,Table520[Year 5])</f>
        <v>0</v>
      </c>
      <c r="H10" s="33">
        <f>SUBTOTAL(109,Table520[Year 6])</f>
        <v>0</v>
      </c>
      <c r="I10" s="33">
        <f>SUBTOTAL(109,Table520[Year 7])</f>
        <v>0</v>
      </c>
      <c r="J10" s="31">
        <f>SUBTOTAL(109,Table520[Total])</f>
        <v>0</v>
      </c>
      <c r="M10" s="1"/>
      <c r="U10" s="1"/>
    </row>
    <row r="11" spans="1:26" ht="39.950000000000003" customHeight="1" x14ac:dyDescent="0.25">
      <c r="M11" s="1"/>
      <c r="N11" s="3"/>
      <c r="O11" s="3"/>
      <c r="P11" s="3"/>
      <c r="Q11" s="3"/>
      <c r="R11" s="3"/>
      <c r="U11" s="1"/>
      <c r="V11" s="3"/>
      <c r="W11" s="3"/>
      <c r="X11" s="3"/>
      <c r="Y11" s="3"/>
      <c r="Z11" s="3"/>
    </row>
    <row r="12" spans="1:26" x14ac:dyDescent="0.25">
      <c r="A12" s="12" t="s">
        <v>9</v>
      </c>
      <c r="B12" s="40" t="s">
        <v>47</v>
      </c>
      <c r="C12" s="13" t="s">
        <v>0</v>
      </c>
      <c r="D12" s="13" t="s">
        <v>1</v>
      </c>
      <c r="E12" s="13" t="s">
        <v>2</v>
      </c>
      <c r="F12" s="13" t="s">
        <v>3</v>
      </c>
      <c r="G12" s="13" t="s">
        <v>13</v>
      </c>
      <c r="H12" s="13" t="s">
        <v>14</v>
      </c>
      <c r="I12" s="13" t="s">
        <v>15</v>
      </c>
      <c r="J12" s="14" t="s">
        <v>11</v>
      </c>
      <c r="N12" s="3"/>
      <c r="O12" s="3"/>
      <c r="P12" s="3"/>
      <c r="Q12" s="3"/>
      <c r="R12" s="3"/>
      <c r="V12" s="3"/>
      <c r="W12" s="3"/>
      <c r="X12" s="3"/>
      <c r="Y12" s="3"/>
      <c r="Z12" s="3"/>
    </row>
    <row r="13" spans="1:26" x14ac:dyDescent="0.25">
      <c r="A13" s="29"/>
      <c r="B13" s="16">
        <v>0</v>
      </c>
      <c r="C13" s="16">
        <v>0</v>
      </c>
      <c r="D13" s="16">
        <v>0</v>
      </c>
      <c r="E13" s="16">
        <v>0</v>
      </c>
      <c r="F13" s="16">
        <v>0</v>
      </c>
      <c r="G13" s="16">
        <v>0</v>
      </c>
      <c r="H13" s="16">
        <v>0</v>
      </c>
      <c r="I13" s="16">
        <v>0</v>
      </c>
      <c r="J13" s="17">
        <f>SUM(Table621[[#This Row],[0-6 months]:[Year 7]])</f>
        <v>0</v>
      </c>
    </row>
    <row r="14" spans="1:26" x14ac:dyDescent="0.25">
      <c r="A14" s="15"/>
      <c r="B14" s="16">
        <v>0</v>
      </c>
      <c r="C14" s="16">
        <v>0</v>
      </c>
      <c r="D14" s="16">
        <v>0</v>
      </c>
      <c r="E14" s="16">
        <v>0</v>
      </c>
      <c r="F14" s="16">
        <v>0</v>
      </c>
      <c r="G14" s="16">
        <v>0</v>
      </c>
      <c r="H14" s="16">
        <v>0</v>
      </c>
      <c r="I14" s="16">
        <v>0</v>
      </c>
      <c r="J14" s="17">
        <f>SUM(Table621[[#This Row],[0-6 months]:[Year 7]])</f>
        <v>0</v>
      </c>
      <c r="M14" s="1"/>
      <c r="U14" s="1"/>
    </row>
    <row r="15" spans="1:26" x14ac:dyDescent="0.25">
      <c r="A15" s="22" t="s">
        <v>11</v>
      </c>
      <c r="B15" s="33">
        <f>SUBTOTAL(109,Table621[0-6 months])</f>
        <v>0</v>
      </c>
      <c r="C15" s="33">
        <f>SUBTOTAL(109,Table621[Year 1])</f>
        <v>0</v>
      </c>
      <c r="D15" s="33">
        <f>SUBTOTAL(109,Table621[Year 2])</f>
        <v>0</v>
      </c>
      <c r="E15" s="33">
        <f>SUBTOTAL(109,Table621[Year 3])</f>
        <v>0</v>
      </c>
      <c r="F15" s="33">
        <f>SUBTOTAL(109,Table621[Year 4])</f>
        <v>0</v>
      </c>
      <c r="G15" s="33">
        <f>SUBTOTAL(109,Table621[Year 5])</f>
        <v>0</v>
      </c>
      <c r="H15" s="33">
        <f>SUBTOTAL(109,Table621[Year 6])</f>
        <v>0</v>
      </c>
      <c r="I15" s="33">
        <f>SUBTOTAL(109,Table621[Year 7])</f>
        <v>0</v>
      </c>
      <c r="J15" s="31">
        <f>SUBTOTAL(109,Table621[Total])</f>
        <v>0</v>
      </c>
      <c r="N15" s="3"/>
      <c r="O15" s="3"/>
      <c r="P15" s="3"/>
      <c r="Q15" s="3"/>
      <c r="R15" s="3"/>
      <c r="V15" s="3"/>
      <c r="W15" s="3"/>
      <c r="X15" s="3"/>
      <c r="Y15" s="3"/>
      <c r="Z15" s="3"/>
    </row>
    <row r="16" spans="1:26" ht="39.950000000000003" customHeight="1" x14ac:dyDescent="0.25">
      <c r="N16" s="3"/>
      <c r="O16" s="3"/>
      <c r="P16" s="3"/>
      <c r="Q16" s="3"/>
      <c r="R16" s="3"/>
      <c r="V16" s="3"/>
      <c r="W16" s="3"/>
      <c r="X16" s="3"/>
      <c r="Y16" s="3"/>
      <c r="Z16" s="3"/>
    </row>
    <row r="17" spans="1:26" x14ac:dyDescent="0.25">
      <c r="A17" s="12" t="s">
        <v>10</v>
      </c>
      <c r="B17" s="40" t="s">
        <v>47</v>
      </c>
      <c r="C17" s="13" t="s">
        <v>0</v>
      </c>
      <c r="D17" s="13" t="s">
        <v>1</v>
      </c>
      <c r="E17" s="13" t="s">
        <v>2</v>
      </c>
      <c r="F17" s="13" t="s">
        <v>3</v>
      </c>
      <c r="G17" s="13" t="s">
        <v>13</v>
      </c>
      <c r="H17" s="13" t="s">
        <v>14</v>
      </c>
      <c r="I17" s="13" t="s">
        <v>15</v>
      </c>
      <c r="J17" s="14" t="s">
        <v>11</v>
      </c>
    </row>
    <row r="18" spans="1:26" x14ac:dyDescent="0.25">
      <c r="A18" s="15"/>
      <c r="B18" s="16">
        <v>0</v>
      </c>
      <c r="C18" s="16">
        <v>0</v>
      </c>
      <c r="D18" s="16">
        <v>0</v>
      </c>
      <c r="E18" s="16">
        <v>0</v>
      </c>
      <c r="F18" s="16">
        <v>0</v>
      </c>
      <c r="G18" s="16">
        <v>0</v>
      </c>
      <c r="H18" s="16">
        <v>0</v>
      </c>
      <c r="I18" s="16">
        <v>0</v>
      </c>
      <c r="J18" s="17">
        <f>SUM(Table823[[#This Row],[0-6 months]:[Year 7]])</f>
        <v>0</v>
      </c>
    </row>
    <row r="19" spans="1:26" x14ac:dyDescent="0.25">
      <c r="A19" s="15"/>
      <c r="B19" s="16">
        <v>0</v>
      </c>
      <c r="C19" s="16">
        <v>0</v>
      </c>
      <c r="D19" s="16">
        <v>0</v>
      </c>
      <c r="E19" s="16">
        <v>0</v>
      </c>
      <c r="F19" s="16">
        <v>0</v>
      </c>
      <c r="G19" s="16">
        <v>0</v>
      </c>
      <c r="H19" s="16">
        <v>0</v>
      </c>
      <c r="I19" s="16">
        <v>0</v>
      </c>
      <c r="J19" s="17">
        <f>SUM(Table823[[#This Row],[0-6 months]:[Year 7]])</f>
        <v>0</v>
      </c>
      <c r="N19" s="3"/>
      <c r="O19" s="3"/>
      <c r="P19" s="3"/>
      <c r="Q19" s="3"/>
      <c r="R19" s="3"/>
      <c r="V19" s="3"/>
      <c r="W19" s="3"/>
      <c r="X19" s="3"/>
      <c r="Y19" s="3"/>
      <c r="Z19" s="3"/>
    </row>
    <row r="20" spans="1:26" x14ac:dyDescent="0.25">
      <c r="A20" s="22" t="s">
        <v>11</v>
      </c>
      <c r="B20" s="33">
        <f>SUBTOTAL(109,Table823[0-6 months])</f>
        <v>0</v>
      </c>
      <c r="C20" s="33">
        <f>SUBTOTAL(109,Table823[Year 1])</f>
        <v>0</v>
      </c>
      <c r="D20" s="33">
        <f>SUBTOTAL(109,Table823[Year 2])</f>
        <v>0</v>
      </c>
      <c r="E20" s="33">
        <f>SUBTOTAL(109,Table823[Year 3])</f>
        <v>0</v>
      </c>
      <c r="F20" s="33">
        <f>SUBTOTAL(109,Table823[Year 4])</f>
        <v>0</v>
      </c>
      <c r="G20" s="33">
        <f>SUBTOTAL(109,Table823[Year 5])</f>
        <v>0</v>
      </c>
      <c r="H20" s="33">
        <f>SUBTOTAL(109,Table823[Year 6])</f>
        <v>0</v>
      </c>
      <c r="I20" s="33">
        <f>SUBTOTAL(109,Table823[Year 7])</f>
        <v>0</v>
      </c>
      <c r="J20" s="31">
        <f>SUBTOTAL(109,Table823[Total])</f>
        <v>0</v>
      </c>
      <c r="N20" s="3"/>
      <c r="O20" s="3"/>
      <c r="P20" s="3"/>
      <c r="Q20" s="3"/>
      <c r="R20" s="3"/>
      <c r="V20" s="3"/>
      <c r="W20" s="3"/>
      <c r="X20" s="3"/>
      <c r="Y20" s="3"/>
      <c r="Z20" s="3"/>
    </row>
    <row r="21" spans="1:26" ht="39.950000000000003" customHeight="1" x14ac:dyDescent="0.25">
      <c r="N21" s="3"/>
      <c r="O21" s="3"/>
      <c r="P21" s="3"/>
      <c r="Q21" s="3"/>
      <c r="R21" s="3"/>
      <c r="V21" s="3"/>
      <c r="W21" s="3"/>
      <c r="X21" s="3"/>
      <c r="Y21" s="3"/>
      <c r="Z21" s="3"/>
    </row>
    <row r="22" spans="1:26" x14ac:dyDescent="0.25">
      <c r="A22" s="24" t="s">
        <v>12</v>
      </c>
      <c r="B22" s="40" t="s">
        <v>47</v>
      </c>
      <c r="C22" s="13" t="s">
        <v>0</v>
      </c>
      <c r="D22" s="13" t="s">
        <v>1</v>
      </c>
      <c r="E22" s="13" t="s">
        <v>2</v>
      </c>
      <c r="F22" s="13" t="s">
        <v>3</v>
      </c>
      <c r="G22" s="13" t="s">
        <v>13</v>
      </c>
      <c r="H22" s="13" t="s">
        <v>14</v>
      </c>
      <c r="I22" s="13" t="s">
        <v>15</v>
      </c>
      <c r="J22" s="14" t="s">
        <v>11</v>
      </c>
      <c r="N22" s="3"/>
      <c r="O22" s="3"/>
      <c r="P22" s="3"/>
      <c r="Q22" s="3"/>
      <c r="R22" s="3"/>
      <c r="V22" s="3"/>
      <c r="W22" s="3"/>
      <c r="X22" s="3"/>
      <c r="Y22" s="3"/>
      <c r="Z22" s="3"/>
    </row>
    <row r="23" spans="1:26" s="1" customFormat="1" x14ac:dyDescent="0.25">
      <c r="A23" s="25" t="s">
        <v>6</v>
      </c>
      <c r="B23" s="26">
        <f>Table218[[#Totals],[0-6 months]]</f>
        <v>0</v>
      </c>
      <c r="C23" s="26">
        <f>Table218[[#Totals],[Year 1]]</f>
        <v>0</v>
      </c>
      <c r="D23" s="26">
        <f>Table218[[#Totals],[Year 2]]</f>
        <v>0</v>
      </c>
      <c r="E23" s="26">
        <f>Table218[[#Totals],[Year 3]]</f>
        <v>0</v>
      </c>
      <c r="F23" s="26">
        <f>Table218[[#Totals],[Year 4]]</f>
        <v>0</v>
      </c>
      <c r="G23" s="26">
        <f>Table218[[#Totals],[Year 5]]</f>
        <v>0</v>
      </c>
      <c r="H23" s="26">
        <f>Table218[[#Totals],[Year 6]]</f>
        <v>0</v>
      </c>
      <c r="I23" s="26">
        <f>Table218[[#Totals],[Year 7]]</f>
        <v>0</v>
      </c>
      <c r="J23" s="27">
        <f>SUM(Table924[[#This Row],[0-6 months]:[Year 7]])</f>
        <v>0</v>
      </c>
      <c r="N23" s="4"/>
      <c r="O23" s="4"/>
      <c r="P23" s="4"/>
      <c r="Q23" s="4"/>
      <c r="R23" s="4"/>
      <c r="V23" s="4"/>
      <c r="W23" s="4"/>
      <c r="X23" s="4"/>
      <c r="Y23" s="4"/>
      <c r="Z23" s="4"/>
    </row>
    <row r="24" spans="1:26" x14ac:dyDescent="0.25">
      <c r="A24" s="25" t="s">
        <v>8</v>
      </c>
      <c r="B24" s="26">
        <f>Table520[[#Totals],[0-6 months]]</f>
        <v>0</v>
      </c>
      <c r="C24" s="26">
        <f>Table520[[#Totals],[Year 1]]</f>
        <v>0</v>
      </c>
      <c r="D24" s="26">
        <f>Table520[[#Totals],[Year 2]]</f>
        <v>0</v>
      </c>
      <c r="E24" s="26">
        <f>Table520[[#Totals],[Year 3]]</f>
        <v>0</v>
      </c>
      <c r="F24" s="26">
        <f>Table520[[#Totals],[Year 4]]</f>
        <v>0</v>
      </c>
      <c r="G24" s="26">
        <f>Table520[[#Totals],[Year 5]]</f>
        <v>0</v>
      </c>
      <c r="H24" s="26">
        <f>Table520[[#Totals],[Year 6]]</f>
        <v>0</v>
      </c>
      <c r="I24" s="26">
        <f>Table520[[#Totals],[Year 7]]</f>
        <v>0</v>
      </c>
      <c r="J24" s="27">
        <f>SUM(Table924[[#This Row],[0-6 months]:[Year 7]])</f>
        <v>0</v>
      </c>
    </row>
    <row r="25" spans="1:26" x14ac:dyDescent="0.25">
      <c r="A25" s="25" t="s">
        <v>9</v>
      </c>
      <c r="B25" s="26">
        <f>Table621[[#Totals],[0-6 months]]</f>
        <v>0</v>
      </c>
      <c r="C25" s="26">
        <f>Table621[[#Totals],[Year 1]]</f>
        <v>0</v>
      </c>
      <c r="D25" s="26">
        <f>Table621[[#Totals],[Year 2]]</f>
        <v>0</v>
      </c>
      <c r="E25" s="26">
        <f>Table621[[#Totals],[Year 3]]</f>
        <v>0</v>
      </c>
      <c r="F25" s="26">
        <f>Table621[[#Totals],[Year 4]]</f>
        <v>0</v>
      </c>
      <c r="G25" s="26">
        <f>Table621[[#Totals],[Year 5]]</f>
        <v>0</v>
      </c>
      <c r="H25" s="26">
        <f>Table621[[#Totals],[Year 6]]</f>
        <v>0</v>
      </c>
      <c r="I25" s="26">
        <f>Table621[[#Totals],[Year 7]]</f>
        <v>0</v>
      </c>
      <c r="J25" s="27">
        <f>SUM(Table924[[#This Row],[0-6 months]:[Year 7]])</f>
        <v>0</v>
      </c>
    </row>
    <row r="26" spans="1:26" x14ac:dyDescent="0.25">
      <c r="A26" s="25" t="s">
        <v>10</v>
      </c>
      <c r="B26" s="26">
        <f>Table823[[#Totals],[0-6 months]]</f>
        <v>0</v>
      </c>
      <c r="C26" s="26">
        <f>Table823[[#Totals],[Year 1]]</f>
        <v>0</v>
      </c>
      <c r="D26" s="26">
        <f>Table823[[#Totals],[Year 2]]</f>
        <v>0</v>
      </c>
      <c r="E26" s="26">
        <f>Table823[[#Totals],[Year 3]]</f>
        <v>0</v>
      </c>
      <c r="F26" s="26">
        <f>Table823[[#Totals],[Year 4]]</f>
        <v>0</v>
      </c>
      <c r="G26" s="26">
        <f>Table823[[#Totals],[Year 5]]</f>
        <v>0</v>
      </c>
      <c r="H26" s="26">
        <f>Table823[[#Totals],[Year 6]]</f>
        <v>0</v>
      </c>
      <c r="I26" s="26">
        <f>Table823[[#Totals],[Year 7]]</f>
        <v>0</v>
      </c>
      <c r="J26" s="27">
        <f>SUM(Table924[[#This Row],[0-6 months]:[Year 7]])</f>
        <v>0</v>
      </c>
    </row>
    <row r="27" spans="1:26" x14ac:dyDescent="0.25">
      <c r="A27" s="23" t="s">
        <v>11</v>
      </c>
      <c r="B27" s="44">
        <f>SUBTOTAL(109,Table924[0-6 months])</f>
        <v>0</v>
      </c>
      <c r="C27" s="44">
        <f>SUBTOTAL(109,Table924[Year 1])</f>
        <v>0</v>
      </c>
      <c r="D27" s="44">
        <f>SUBTOTAL(109,Table924[Year 2])</f>
        <v>0</v>
      </c>
      <c r="E27" s="44">
        <f>SUBTOTAL(109,Table924[Year 3])</f>
        <v>0</v>
      </c>
      <c r="F27" s="44">
        <f>SUBTOTAL(109,Table924[Year 4])</f>
        <v>0</v>
      </c>
      <c r="G27" s="44">
        <f>SUBTOTAL(109,Table924[Year 5])</f>
        <v>0</v>
      </c>
      <c r="H27" s="44">
        <f>SUBTOTAL(109,Table924[Year 6])</f>
        <v>0</v>
      </c>
      <c r="I27" s="44">
        <f>SUBTOTAL(109,Table924[Year 7])</f>
        <v>0</v>
      </c>
      <c r="J27" s="30">
        <f>SUBTOTAL(109,Table924[Total])</f>
        <v>0</v>
      </c>
    </row>
    <row r="28" spans="1:26" x14ac:dyDescent="0.25">
      <c r="A28" s="32"/>
      <c r="B28" s="32"/>
      <c r="C28" s="32"/>
      <c r="D28" s="32"/>
      <c r="E28" s="32"/>
      <c r="F28" s="32"/>
      <c r="G28" s="32"/>
      <c r="H28" s="32"/>
      <c r="I28" s="32"/>
      <c r="J28" s="32"/>
    </row>
    <row r="29" spans="1:26" x14ac:dyDescent="0.25">
      <c r="A29" s="32"/>
      <c r="B29" s="32"/>
      <c r="C29" s="32"/>
      <c r="D29" s="32"/>
      <c r="E29" s="32"/>
      <c r="F29" s="32"/>
      <c r="G29" s="32"/>
      <c r="H29" s="32"/>
      <c r="I29" s="32"/>
      <c r="J29" s="32"/>
    </row>
  </sheetData>
  <pageMargins left="0.7" right="0.7" top="0.75" bottom="0.75" header="0.3" footer="0.3"/>
  <pageSetup paperSize="9" scale="58" orientation="landscape" r:id="rId1"/>
  <ignoredErrors>
    <ignoredError sqref="C8:I9 C13:I14 C18:I19 C23:C26" calculatedColumn="1"/>
  </ignoredErrors>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Z56"/>
  <sheetViews>
    <sheetView tabSelected="1" topLeftCell="A22" zoomScaleNormal="100" workbookViewId="0">
      <selection activeCell="J23" sqref="J23"/>
    </sheetView>
  </sheetViews>
  <sheetFormatPr defaultRowHeight="15" x14ac:dyDescent="0.25"/>
  <cols>
    <col min="1" max="1" width="21" customWidth="1"/>
    <col min="2" max="10" width="13.85546875" customWidth="1"/>
    <col min="11" max="14" width="13.5703125" customWidth="1"/>
    <col min="17" max="17" width="21" customWidth="1"/>
    <col min="18" max="22" width="13.5703125" customWidth="1"/>
  </cols>
  <sheetData>
    <row r="1" spans="1:26" ht="18.75" x14ac:dyDescent="0.3">
      <c r="A1" s="43" t="s">
        <v>49</v>
      </c>
    </row>
    <row r="3" spans="1:26" x14ac:dyDescent="0.25">
      <c r="A3" s="12" t="s">
        <v>6</v>
      </c>
      <c r="B3" s="40" t="s">
        <v>47</v>
      </c>
      <c r="C3" s="13" t="s">
        <v>0</v>
      </c>
      <c r="D3" s="13" t="s">
        <v>1</v>
      </c>
      <c r="E3" s="13" t="s">
        <v>2</v>
      </c>
      <c r="F3" s="13" t="s">
        <v>3</v>
      </c>
      <c r="G3" s="13" t="s">
        <v>13</v>
      </c>
      <c r="H3" s="13" t="s">
        <v>14</v>
      </c>
      <c r="I3" s="13" t="s">
        <v>15</v>
      </c>
      <c r="J3" s="14" t="s">
        <v>11</v>
      </c>
      <c r="M3" s="1"/>
      <c r="U3" s="1"/>
    </row>
    <row r="4" spans="1:26" x14ac:dyDescent="0.25">
      <c r="A4" s="15"/>
      <c r="B4" s="16">
        <v>0</v>
      </c>
      <c r="C4" s="16">
        <v>0</v>
      </c>
      <c r="D4" s="16">
        <v>0</v>
      </c>
      <c r="E4" s="16">
        <v>0</v>
      </c>
      <c r="F4" s="16">
        <v>0</v>
      </c>
      <c r="G4" s="16">
        <v>0</v>
      </c>
      <c r="H4" s="16">
        <v>0</v>
      </c>
      <c r="I4" s="16">
        <v>0</v>
      </c>
      <c r="J4" s="17">
        <f>SUM(Table21816[[0-6 months]:[Year 7]])</f>
        <v>0</v>
      </c>
      <c r="N4" s="3"/>
      <c r="O4" s="3"/>
      <c r="P4" s="3"/>
      <c r="Q4" s="3"/>
      <c r="R4" s="3"/>
      <c r="V4" s="3"/>
      <c r="W4" s="3"/>
      <c r="X4" s="3"/>
      <c r="Y4" s="3"/>
      <c r="Z4" s="3"/>
    </row>
    <row r="5" spans="1:26" x14ac:dyDescent="0.25">
      <c r="A5" s="22" t="s">
        <v>11</v>
      </c>
      <c r="B5" s="33">
        <f>SUBTOTAL(109,Table21816[0-6 months])</f>
        <v>0</v>
      </c>
      <c r="C5" s="33">
        <f>SUBTOTAL(109,Table21816[Year 1])</f>
        <v>0</v>
      </c>
      <c r="D5" s="33">
        <f>SUBTOTAL(109,Table21816[Year 2])</f>
        <v>0</v>
      </c>
      <c r="E5" s="33">
        <f>SUBTOTAL(109,Table21816[Year 3])</f>
        <v>0</v>
      </c>
      <c r="F5" s="33">
        <f>SUBTOTAL(109,Table21816[Year 4])</f>
        <v>0</v>
      </c>
      <c r="G5" s="33">
        <f>SUBTOTAL(109,Table21816[Year 5])</f>
        <v>0</v>
      </c>
      <c r="H5" s="33">
        <f>SUBTOTAL(109,Table21816[Year 6])</f>
        <v>0</v>
      </c>
      <c r="I5" s="33">
        <f>SUBTOTAL(109,Table21816[Year 7])</f>
        <v>0</v>
      </c>
      <c r="J5" s="31">
        <f>SUBTOTAL(109,Table21816[Total])</f>
        <v>0</v>
      </c>
    </row>
    <row r="6" spans="1:26" ht="39.950000000000003" customHeight="1" x14ac:dyDescent="0.25">
      <c r="M6" s="1"/>
      <c r="U6" s="1"/>
    </row>
    <row r="7" spans="1:26" x14ac:dyDescent="0.25">
      <c r="A7" s="12" t="s">
        <v>25</v>
      </c>
      <c r="B7" s="40" t="s">
        <v>47</v>
      </c>
      <c r="C7" s="13" t="s">
        <v>0</v>
      </c>
      <c r="D7" s="13" t="s">
        <v>1</v>
      </c>
      <c r="E7" s="13" t="s">
        <v>2</v>
      </c>
      <c r="F7" s="13" t="s">
        <v>3</v>
      </c>
      <c r="G7" s="13" t="s">
        <v>13</v>
      </c>
      <c r="H7" s="13" t="s">
        <v>14</v>
      </c>
      <c r="I7" s="13" t="s">
        <v>15</v>
      </c>
      <c r="J7" s="14" t="s">
        <v>11</v>
      </c>
      <c r="M7" s="1"/>
      <c r="N7" s="3"/>
      <c r="O7" s="3"/>
      <c r="P7" s="3"/>
      <c r="Q7" s="3"/>
      <c r="R7" s="3"/>
      <c r="U7" s="1"/>
      <c r="V7" s="3"/>
      <c r="W7" s="3"/>
      <c r="X7" s="3"/>
      <c r="Y7" s="3"/>
      <c r="Z7" s="3"/>
    </row>
    <row r="8" spans="1:26" x14ac:dyDescent="0.25">
      <c r="A8" s="29"/>
      <c r="B8" s="16">
        <v>0</v>
      </c>
      <c r="C8" s="16">
        <v>0</v>
      </c>
      <c r="D8" s="16">
        <v>0</v>
      </c>
      <c r="E8" s="16">
        <v>0</v>
      </c>
      <c r="F8" s="16">
        <v>0</v>
      </c>
      <c r="G8" s="16">
        <v>0</v>
      </c>
      <c r="H8" s="16">
        <v>0</v>
      </c>
      <c r="I8" s="16">
        <v>0</v>
      </c>
      <c r="J8" s="17">
        <f>SUM(Table52017[[#This Row],[0-6 months]:[Year 7]])</f>
        <v>0</v>
      </c>
      <c r="N8" s="3"/>
      <c r="O8" s="3"/>
      <c r="P8" s="3"/>
      <c r="Q8" s="3"/>
      <c r="R8" s="3"/>
      <c r="V8" s="3"/>
      <c r="W8" s="3"/>
      <c r="X8" s="3"/>
      <c r="Y8" s="3"/>
      <c r="Z8" s="3"/>
    </row>
    <row r="9" spans="1:26" x14ac:dyDescent="0.25">
      <c r="A9" s="15"/>
      <c r="B9" s="16">
        <v>0</v>
      </c>
      <c r="C9" s="16">
        <v>0</v>
      </c>
      <c r="D9" s="16">
        <v>0</v>
      </c>
      <c r="E9" s="16">
        <v>0</v>
      </c>
      <c r="F9" s="16">
        <v>0</v>
      </c>
      <c r="G9" s="16">
        <v>0</v>
      </c>
      <c r="H9" s="16">
        <v>0</v>
      </c>
      <c r="I9" s="16">
        <v>0</v>
      </c>
      <c r="J9" s="17">
        <f>SUM(Table52017[[#This Row],[0-6 months]:[Year 7]])</f>
        <v>0</v>
      </c>
    </row>
    <row r="10" spans="1:26" x14ac:dyDescent="0.25">
      <c r="A10" s="22" t="s">
        <v>11</v>
      </c>
      <c r="B10" s="33">
        <f>SUBTOTAL(109,Table52017[0-6 months])</f>
        <v>0</v>
      </c>
      <c r="C10" s="33">
        <f>SUBTOTAL(109,Table52017[Year 1])</f>
        <v>0</v>
      </c>
      <c r="D10" s="33">
        <f>SUBTOTAL(109,Table52017[Year 2])</f>
        <v>0</v>
      </c>
      <c r="E10" s="33">
        <f>SUBTOTAL(109,Table52017[Year 3])</f>
        <v>0</v>
      </c>
      <c r="F10" s="33">
        <f>SUBTOTAL(109,Table52017[Year 4])</f>
        <v>0</v>
      </c>
      <c r="G10" s="33">
        <f>SUBTOTAL(109,Table52017[Year 5])</f>
        <v>0</v>
      </c>
      <c r="H10" s="33">
        <f>SUBTOTAL(109,Table52017[Year 6])</f>
        <v>0</v>
      </c>
      <c r="I10" s="33">
        <f>SUBTOTAL(109,Table52017[Year 7])</f>
        <v>0</v>
      </c>
      <c r="J10" s="31">
        <f>SUBTOTAL(109,Table52017[Total])</f>
        <v>0</v>
      </c>
      <c r="M10" s="1"/>
      <c r="U10" s="1"/>
    </row>
    <row r="11" spans="1:26" ht="39.950000000000003" customHeight="1" x14ac:dyDescent="0.25">
      <c r="M11" s="1"/>
      <c r="N11" s="3"/>
      <c r="O11" s="3"/>
      <c r="P11" s="3"/>
      <c r="Q11" s="3"/>
      <c r="R11" s="3"/>
      <c r="U11" s="1"/>
      <c r="V11" s="3"/>
      <c r="W11" s="3"/>
      <c r="X11" s="3"/>
      <c r="Y11" s="3"/>
      <c r="Z11" s="3"/>
    </row>
    <row r="12" spans="1:26" x14ac:dyDescent="0.25">
      <c r="A12" s="12" t="s">
        <v>9</v>
      </c>
      <c r="B12" s="40" t="s">
        <v>47</v>
      </c>
      <c r="C12" s="13" t="s">
        <v>0</v>
      </c>
      <c r="D12" s="13" t="s">
        <v>1</v>
      </c>
      <c r="E12" s="13" t="s">
        <v>2</v>
      </c>
      <c r="F12" s="13" t="s">
        <v>3</v>
      </c>
      <c r="G12" s="13" t="s">
        <v>13</v>
      </c>
      <c r="H12" s="13" t="s">
        <v>14</v>
      </c>
      <c r="I12" s="13" t="s">
        <v>15</v>
      </c>
      <c r="J12" s="14" t="s">
        <v>11</v>
      </c>
      <c r="N12" s="3"/>
      <c r="O12" s="3"/>
      <c r="P12" s="3"/>
      <c r="Q12" s="3"/>
      <c r="R12" s="3"/>
      <c r="V12" s="3"/>
      <c r="W12" s="3"/>
      <c r="X12" s="3"/>
      <c r="Y12" s="3"/>
      <c r="Z12" s="3"/>
    </row>
    <row r="13" spans="1:26" x14ac:dyDescent="0.25">
      <c r="A13" s="29"/>
      <c r="B13" s="16">
        <v>0</v>
      </c>
      <c r="C13" s="16">
        <v>0</v>
      </c>
      <c r="D13" s="16">
        <v>0</v>
      </c>
      <c r="E13" s="16">
        <v>0</v>
      </c>
      <c r="F13" s="16">
        <v>0</v>
      </c>
      <c r="G13" s="16">
        <v>0</v>
      </c>
      <c r="H13" s="16">
        <v>0</v>
      </c>
      <c r="I13" s="16">
        <v>0</v>
      </c>
      <c r="J13" s="17">
        <f>SUM(Table62119[[#This Row],[0-6 months]:[Year 7]])</f>
        <v>0</v>
      </c>
    </row>
    <row r="14" spans="1:26" x14ac:dyDescent="0.25">
      <c r="A14" s="15"/>
      <c r="B14" s="16">
        <v>0</v>
      </c>
      <c r="C14" s="16">
        <v>0</v>
      </c>
      <c r="D14" s="16">
        <v>0</v>
      </c>
      <c r="E14" s="16">
        <v>0</v>
      </c>
      <c r="F14" s="16">
        <v>0</v>
      </c>
      <c r="G14" s="16">
        <v>0</v>
      </c>
      <c r="H14" s="16">
        <v>0</v>
      </c>
      <c r="I14" s="16">
        <v>0</v>
      </c>
      <c r="J14" s="17">
        <f>SUM(Table62119[[#This Row],[0-6 months]:[Year 7]])</f>
        <v>0</v>
      </c>
      <c r="M14" s="1"/>
      <c r="U14" s="1"/>
    </row>
    <row r="15" spans="1:26" x14ac:dyDescent="0.25">
      <c r="A15" s="22" t="s">
        <v>11</v>
      </c>
      <c r="B15" s="33">
        <f>SUBTOTAL(109,Table62119[0-6 months])</f>
        <v>0</v>
      </c>
      <c r="C15" s="33">
        <f>SUBTOTAL(109,Table62119[Year 1])</f>
        <v>0</v>
      </c>
      <c r="D15" s="33">
        <f>SUBTOTAL(109,Table62119[Year 2])</f>
        <v>0</v>
      </c>
      <c r="E15" s="33">
        <f>SUBTOTAL(109,Table62119[Year 3])</f>
        <v>0</v>
      </c>
      <c r="F15" s="33">
        <f>SUBTOTAL(109,Table62119[Year 4])</f>
        <v>0</v>
      </c>
      <c r="G15" s="33">
        <f>SUBTOTAL(109,Table62119[Year 5])</f>
        <v>0</v>
      </c>
      <c r="H15" s="33">
        <f>SUBTOTAL(109,Table62119[Year 6])</f>
        <v>0</v>
      </c>
      <c r="I15" s="33">
        <f>SUBTOTAL(109,Table62119[Year 7])</f>
        <v>0</v>
      </c>
      <c r="J15" s="31">
        <f>SUBTOTAL(109,Table62119[Total])</f>
        <v>0</v>
      </c>
      <c r="N15" s="3"/>
      <c r="O15" s="3"/>
      <c r="P15" s="3"/>
      <c r="Q15" s="3"/>
      <c r="R15" s="3"/>
      <c r="V15" s="3"/>
      <c r="W15" s="3"/>
      <c r="X15" s="3"/>
      <c r="Y15" s="3"/>
      <c r="Z15" s="3"/>
    </row>
    <row r="16" spans="1:26" ht="39.950000000000003" customHeight="1" x14ac:dyDescent="0.25">
      <c r="N16" s="3"/>
      <c r="O16" s="3"/>
      <c r="P16" s="3"/>
      <c r="Q16" s="3"/>
      <c r="R16" s="3"/>
      <c r="V16" s="3"/>
      <c r="W16" s="3"/>
      <c r="X16" s="3"/>
      <c r="Y16" s="3"/>
      <c r="Z16" s="3"/>
    </row>
    <row r="17" spans="1:26" x14ac:dyDescent="0.25">
      <c r="A17" s="12" t="s">
        <v>10</v>
      </c>
      <c r="B17" s="40" t="s">
        <v>47</v>
      </c>
      <c r="C17" s="13" t="s">
        <v>0</v>
      </c>
      <c r="D17" s="13" t="s">
        <v>1</v>
      </c>
      <c r="E17" s="13" t="s">
        <v>2</v>
      </c>
      <c r="F17" s="13" t="s">
        <v>3</v>
      </c>
      <c r="G17" s="13" t="s">
        <v>13</v>
      </c>
      <c r="H17" s="13" t="s">
        <v>14</v>
      </c>
      <c r="I17" s="13" t="s">
        <v>15</v>
      </c>
      <c r="J17" s="14" t="s">
        <v>11</v>
      </c>
    </row>
    <row r="18" spans="1:26" x14ac:dyDescent="0.25">
      <c r="A18" s="15"/>
      <c r="B18" s="16">
        <v>0</v>
      </c>
      <c r="C18" s="16">
        <v>0</v>
      </c>
      <c r="D18" s="16">
        <v>0</v>
      </c>
      <c r="E18" s="16">
        <v>0</v>
      </c>
      <c r="F18" s="16">
        <v>0</v>
      </c>
      <c r="G18" s="16">
        <v>0</v>
      </c>
      <c r="H18" s="16">
        <v>0</v>
      </c>
      <c r="I18" s="16">
        <v>0</v>
      </c>
      <c r="J18" s="17">
        <f>SUM(Table82322[[#This Row],[0-6 months]:[Year 7]])</f>
        <v>0</v>
      </c>
    </row>
    <row r="19" spans="1:26" x14ac:dyDescent="0.25">
      <c r="A19" s="15"/>
      <c r="B19" s="16">
        <v>0</v>
      </c>
      <c r="C19" s="16">
        <v>0</v>
      </c>
      <c r="D19" s="16">
        <v>0</v>
      </c>
      <c r="E19" s="16">
        <v>0</v>
      </c>
      <c r="F19" s="16">
        <v>0</v>
      </c>
      <c r="G19" s="16">
        <v>0</v>
      </c>
      <c r="H19" s="16">
        <v>0</v>
      </c>
      <c r="I19" s="16">
        <v>0</v>
      </c>
      <c r="J19" s="17">
        <f>SUM(Table82322[[#This Row],[0-6 months]:[Year 7]])</f>
        <v>0</v>
      </c>
      <c r="N19" s="3"/>
      <c r="O19" s="3"/>
      <c r="P19" s="3"/>
      <c r="Q19" s="3"/>
      <c r="R19" s="3"/>
      <c r="V19" s="3"/>
      <c r="W19" s="3"/>
      <c r="X19" s="3"/>
      <c r="Y19" s="3"/>
      <c r="Z19" s="3"/>
    </row>
    <row r="20" spans="1:26" x14ac:dyDescent="0.25">
      <c r="A20" s="22" t="s">
        <v>11</v>
      </c>
      <c r="B20" s="33">
        <f>SUBTOTAL(109,Table82322[0-6 months])</f>
        <v>0</v>
      </c>
      <c r="C20" s="33">
        <f>SUBTOTAL(109,Table82322[Year 1])</f>
        <v>0</v>
      </c>
      <c r="D20" s="33">
        <f>SUBTOTAL(109,Table82322[Year 2])</f>
        <v>0</v>
      </c>
      <c r="E20" s="33">
        <f>SUBTOTAL(109,Table82322[Year 3])</f>
        <v>0</v>
      </c>
      <c r="F20" s="33">
        <f>SUBTOTAL(109,Table82322[Year 4])</f>
        <v>0</v>
      </c>
      <c r="G20" s="33">
        <f>SUBTOTAL(109,Table82322[Year 5])</f>
        <v>0</v>
      </c>
      <c r="H20" s="33">
        <f>SUBTOTAL(109,Table82322[Year 6])</f>
        <v>0</v>
      </c>
      <c r="I20" s="33">
        <f>SUBTOTAL(109,Table82322[Year 7])</f>
        <v>0</v>
      </c>
      <c r="J20" s="31">
        <f>SUBTOTAL(109,Table82322[Total])</f>
        <v>0</v>
      </c>
      <c r="N20" s="3"/>
      <c r="O20" s="3"/>
      <c r="P20" s="3"/>
      <c r="Q20" s="3"/>
      <c r="R20" s="3"/>
      <c r="V20" s="3"/>
      <c r="W20" s="3"/>
      <c r="X20" s="3"/>
      <c r="Y20" s="3"/>
      <c r="Z20" s="3"/>
    </row>
    <row r="21" spans="1:26" ht="39.950000000000003" customHeight="1" x14ac:dyDescent="0.25">
      <c r="N21" s="3"/>
      <c r="O21" s="3"/>
      <c r="P21" s="3"/>
      <c r="Q21" s="3"/>
      <c r="R21" s="3"/>
      <c r="V21" s="3"/>
      <c r="W21" s="3"/>
      <c r="X21" s="3"/>
      <c r="Y21" s="3"/>
      <c r="Z21" s="3"/>
    </row>
    <row r="22" spans="1:26" x14ac:dyDescent="0.25">
      <c r="A22" s="24" t="s">
        <v>12</v>
      </c>
      <c r="B22" s="40" t="s">
        <v>47</v>
      </c>
      <c r="C22" s="13" t="s">
        <v>0</v>
      </c>
      <c r="D22" s="13" t="s">
        <v>1</v>
      </c>
      <c r="E22" s="13" t="s">
        <v>2</v>
      </c>
      <c r="F22" s="13" t="s">
        <v>3</v>
      </c>
      <c r="G22" s="13" t="s">
        <v>13</v>
      </c>
      <c r="H22" s="13" t="s">
        <v>14</v>
      </c>
      <c r="I22" s="13" t="s">
        <v>15</v>
      </c>
      <c r="J22" s="14" t="s">
        <v>11</v>
      </c>
      <c r="N22" s="3"/>
      <c r="O22" s="3"/>
      <c r="P22" s="3"/>
      <c r="Q22" s="3"/>
      <c r="R22" s="3"/>
      <c r="V22" s="3"/>
      <c r="W22" s="3"/>
      <c r="X22" s="3"/>
      <c r="Y22" s="3"/>
      <c r="Z22" s="3"/>
    </row>
    <row r="23" spans="1:26" s="1" customFormat="1" x14ac:dyDescent="0.25">
      <c r="A23" s="25" t="s">
        <v>6</v>
      </c>
      <c r="B23" s="26">
        <f>Table21816[[#Totals],[0-6 months]]</f>
        <v>0</v>
      </c>
      <c r="C23" s="26">
        <f>Table21816[[#Totals],[Year 1]]</f>
        <v>0</v>
      </c>
      <c r="D23" s="26">
        <f>Table21816[[#Totals],[Year 2]]</f>
        <v>0</v>
      </c>
      <c r="E23" s="26">
        <f>Table21816[[#Totals],[Year 3]]</f>
        <v>0</v>
      </c>
      <c r="F23" s="26">
        <f>Table21816[[#Totals],[Year 4]]</f>
        <v>0</v>
      </c>
      <c r="G23" s="26">
        <f>Table21816[[#Totals],[Year 5]]</f>
        <v>0</v>
      </c>
      <c r="H23" s="26">
        <f>Table21816[[#Totals],[Year 6]]</f>
        <v>0</v>
      </c>
      <c r="I23" s="26">
        <f>Table21816[[#Totals],[Year 7]]</f>
        <v>0</v>
      </c>
      <c r="J23" s="27">
        <f>SUM(Table92425[[#This Row],[0-6 months]:[Year 7]])</f>
        <v>0</v>
      </c>
      <c r="N23" s="4"/>
      <c r="O23" s="4"/>
      <c r="P23" s="4"/>
      <c r="Q23" s="4"/>
      <c r="R23" s="4"/>
      <c r="V23" s="4"/>
      <c r="W23" s="4"/>
      <c r="X23" s="4"/>
      <c r="Y23" s="4"/>
      <c r="Z23" s="4"/>
    </row>
    <row r="24" spans="1:26" x14ac:dyDescent="0.25">
      <c r="A24" s="25" t="s">
        <v>8</v>
      </c>
      <c r="B24" s="26">
        <f>Table52017[[#Totals],[0-6 months]]</f>
        <v>0</v>
      </c>
      <c r="C24" s="26">
        <f>Table52017[[#Totals],[Year 1]]</f>
        <v>0</v>
      </c>
      <c r="D24" s="26">
        <f>Table52017[[#Totals],[Year 2]]</f>
        <v>0</v>
      </c>
      <c r="E24" s="26">
        <f>Table52017[[#Totals],[Year 3]]</f>
        <v>0</v>
      </c>
      <c r="F24" s="26">
        <f>Table52017[[#Totals],[Year 4]]</f>
        <v>0</v>
      </c>
      <c r="G24" s="26">
        <f>Table52017[[#Totals],[Year 5]]</f>
        <v>0</v>
      </c>
      <c r="H24" s="26">
        <f>Table52017[[#Totals],[Year 6]]</f>
        <v>0</v>
      </c>
      <c r="I24" s="26">
        <f>Table52017[[#Totals],[Year 7]]</f>
        <v>0</v>
      </c>
      <c r="J24" s="27">
        <f>SUM(Table92425[[#This Row],[0-6 months]:[Year 7]])</f>
        <v>0</v>
      </c>
    </row>
    <row r="25" spans="1:26" x14ac:dyDescent="0.25">
      <c r="A25" s="25" t="s">
        <v>9</v>
      </c>
      <c r="B25" s="26">
        <f>Table62119[[#Totals],[0-6 months]]</f>
        <v>0</v>
      </c>
      <c r="C25" s="26">
        <f>Table62119[[#Totals],[Year 1]]</f>
        <v>0</v>
      </c>
      <c r="D25" s="26">
        <f>Table62119[[#Totals],[Year 2]]</f>
        <v>0</v>
      </c>
      <c r="E25" s="26">
        <f>Table62119[[#Totals],[Year 3]]</f>
        <v>0</v>
      </c>
      <c r="F25" s="26">
        <f>Table62119[[#Totals],[Year 4]]</f>
        <v>0</v>
      </c>
      <c r="G25" s="26">
        <f>Table62119[[#Totals],[Year 5]]</f>
        <v>0</v>
      </c>
      <c r="H25" s="26">
        <f>Table62119[[#Totals],[Year 6]]</f>
        <v>0</v>
      </c>
      <c r="I25" s="26">
        <f>Table62119[[#Totals],[Year 7]]</f>
        <v>0</v>
      </c>
      <c r="J25" s="27">
        <f>SUM(Table92425[[#This Row],[0-6 months]:[Year 7]])</f>
        <v>0</v>
      </c>
    </row>
    <row r="26" spans="1:26" x14ac:dyDescent="0.25">
      <c r="A26" s="25" t="s">
        <v>10</v>
      </c>
      <c r="B26" s="26">
        <f>Table82322[[#Totals],[0-6 months]]</f>
        <v>0</v>
      </c>
      <c r="C26" s="26">
        <f>Table82322[[#Totals],[Year 1]]</f>
        <v>0</v>
      </c>
      <c r="D26" s="26">
        <f>Table82322[[#Totals],[Year 2]]</f>
        <v>0</v>
      </c>
      <c r="E26" s="26">
        <f>Table82322[[#Totals],[Year 3]]</f>
        <v>0</v>
      </c>
      <c r="F26" s="26">
        <f>Table82322[[#Totals],[Year 4]]</f>
        <v>0</v>
      </c>
      <c r="G26" s="26">
        <f>Table82322[[#Totals],[Year 5]]</f>
        <v>0</v>
      </c>
      <c r="H26" s="26">
        <f>Table82322[[#Totals],[Year 6]]</f>
        <v>0</v>
      </c>
      <c r="I26" s="26">
        <f>Table82322[[#Totals],[Year 7]]</f>
        <v>0</v>
      </c>
      <c r="J26" s="27">
        <f>SUM(Table92425[[#This Row],[0-6 months]:[Year 7]])</f>
        <v>0</v>
      </c>
    </row>
    <row r="27" spans="1:26" x14ac:dyDescent="0.25">
      <c r="A27" s="23" t="s">
        <v>11</v>
      </c>
      <c r="B27" s="44">
        <f>SUBTOTAL(109,Table92425[0-6 months])</f>
        <v>0</v>
      </c>
      <c r="C27" s="44">
        <f>SUBTOTAL(109,Table92425[Year 1])</f>
        <v>0</v>
      </c>
      <c r="D27" s="44">
        <f>SUBTOTAL(109,Table92425[Year 2])</f>
        <v>0</v>
      </c>
      <c r="E27" s="44">
        <f>SUBTOTAL(109,Table92425[Year 3])</f>
        <v>0</v>
      </c>
      <c r="F27" s="44">
        <f>SUBTOTAL(109,Table92425[Year 4])</f>
        <v>0</v>
      </c>
      <c r="G27" s="44">
        <f>SUBTOTAL(109,Table92425[Year 5])</f>
        <v>0</v>
      </c>
      <c r="H27" s="44">
        <f>SUBTOTAL(109,Table92425[Year 6])</f>
        <v>0</v>
      </c>
      <c r="I27" s="44">
        <f>SUBTOTAL(109,Table92425[Year 7])</f>
        <v>0</v>
      </c>
      <c r="J27" s="30">
        <f>SUBTOTAL(109,Table92425[Total])</f>
        <v>0</v>
      </c>
    </row>
    <row r="28" spans="1:26" x14ac:dyDescent="0.25">
      <c r="A28" s="32"/>
      <c r="B28" s="32"/>
      <c r="C28" s="32"/>
      <c r="D28" s="32"/>
      <c r="E28" s="32"/>
      <c r="F28" s="32"/>
      <c r="G28" s="32"/>
      <c r="H28" s="32"/>
      <c r="I28" s="32"/>
      <c r="J28" s="32"/>
    </row>
    <row r="29" spans="1:26" ht="18.75" x14ac:dyDescent="0.3">
      <c r="A29" s="43" t="s">
        <v>50</v>
      </c>
    </row>
    <row r="31" spans="1:26" x14ac:dyDescent="0.25">
      <c r="A31" s="12" t="s">
        <v>6</v>
      </c>
      <c r="B31" s="40" t="s">
        <v>47</v>
      </c>
      <c r="C31" s="13" t="s">
        <v>0</v>
      </c>
      <c r="D31" s="13" t="s">
        <v>1</v>
      </c>
      <c r="E31" s="13" t="s">
        <v>2</v>
      </c>
      <c r="F31" s="13" t="s">
        <v>3</v>
      </c>
      <c r="G31" s="13" t="s">
        <v>13</v>
      </c>
      <c r="H31" s="13" t="s">
        <v>14</v>
      </c>
      <c r="I31" s="13" t="s">
        <v>15</v>
      </c>
      <c r="J31" s="14" t="s">
        <v>11</v>
      </c>
      <c r="M31" s="1"/>
      <c r="U31" s="1"/>
    </row>
    <row r="32" spans="1:26" x14ac:dyDescent="0.25">
      <c r="A32" s="15"/>
      <c r="B32" s="16">
        <v>0</v>
      </c>
      <c r="C32" s="16">
        <v>0</v>
      </c>
      <c r="D32" s="16">
        <v>0</v>
      </c>
      <c r="E32" s="16">
        <v>0</v>
      </c>
      <c r="F32" s="16">
        <v>0</v>
      </c>
      <c r="G32" s="16">
        <v>0</v>
      </c>
      <c r="H32" s="16">
        <v>0</v>
      </c>
      <c r="I32" s="16">
        <v>0</v>
      </c>
      <c r="J32" s="17">
        <f>SUM(Table2181626[[0-6 months]:[Year 7]])</f>
        <v>0</v>
      </c>
      <c r="N32" s="3"/>
      <c r="O32" s="3"/>
      <c r="P32" s="3"/>
      <c r="Q32" s="3"/>
      <c r="R32" s="3"/>
      <c r="V32" s="3"/>
      <c r="W32" s="3"/>
      <c r="X32" s="3"/>
      <c r="Y32" s="3"/>
      <c r="Z32" s="3"/>
    </row>
    <row r="33" spans="1:26" x14ac:dyDescent="0.25">
      <c r="A33" s="22" t="s">
        <v>11</v>
      </c>
      <c r="B33" s="33">
        <f>SUBTOTAL(109,Table2181626[0-6 months])</f>
        <v>0</v>
      </c>
      <c r="C33" s="33">
        <f>SUBTOTAL(109,Table2181626[Year 1])</f>
        <v>0</v>
      </c>
      <c r="D33" s="33">
        <f>SUBTOTAL(109,Table2181626[Year 2])</f>
        <v>0</v>
      </c>
      <c r="E33" s="33">
        <f>SUBTOTAL(109,Table2181626[Year 3])</f>
        <v>0</v>
      </c>
      <c r="F33" s="33">
        <f>SUBTOTAL(109,Table2181626[Year 4])</f>
        <v>0</v>
      </c>
      <c r="G33" s="33">
        <f>SUBTOTAL(109,Table2181626[Year 5])</f>
        <v>0</v>
      </c>
      <c r="H33" s="33">
        <f>SUBTOTAL(109,Table2181626[Year 6])</f>
        <v>0</v>
      </c>
      <c r="I33" s="33">
        <f>SUBTOTAL(109,Table2181626[Year 7])</f>
        <v>0</v>
      </c>
      <c r="J33" s="31">
        <f>SUBTOTAL(109,Table2181626[Total])</f>
        <v>0</v>
      </c>
    </row>
    <row r="34" spans="1:26" ht="39.950000000000003" customHeight="1" x14ac:dyDescent="0.25">
      <c r="M34" s="1"/>
      <c r="U34" s="1"/>
    </row>
    <row r="35" spans="1:26" x14ac:dyDescent="0.25">
      <c r="A35" s="12" t="s">
        <v>25</v>
      </c>
      <c r="B35" s="40" t="s">
        <v>47</v>
      </c>
      <c r="C35" s="13" t="s">
        <v>0</v>
      </c>
      <c r="D35" s="13" t="s">
        <v>1</v>
      </c>
      <c r="E35" s="13" t="s">
        <v>2</v>
      </c>
      <c r="F35" s="13" t="s">
        <v>3</v>
      </c>
      <c r="G35" s="13" t="s">
        <v>13</v>
      </c>
      <c r="H35" s="13" t="s">
        <v>14</v>
      </c>
      <c r="I35" s="13" t="s">
        <v>15</v>
      </c>
      <c r="J35" s="14" t="s">
        <v>11</v>
      </c>
      <c r="M35" s="1"/>
      <c r="N35" s="3"/>
      <c r="O35" s="3"/>
      <c r="P35" s="3"/>
      <c r="Q35" s="3"/>
      <c r="R35" s="3"/>
      <c r="U35" s="1"/>
      <c r="V35" s="3"/>
      <c r="W35" s="3"/>
      <c r="X35" s="3"/>
      <c r="Y35" s="3"/>
      <c r="Z35" s="3"/>
    </row>
    <row r="36" spans="1:26" x14ac:dyDescent="0.25">
      <c r="A36" s="29"/>
      <c r="B36" s="16">
        <v>0</v>
      </c>
      <c r="C36" s="16">
        <v>0</v>
      </c>
      <c r="D36" s="16">
        <v>0</v>
      </c>
      <c r="E36" s="16">
        <v>0</v>
      </c>
      <c r="F36" s="16">
        <v>0</v>
      </c>
      <c r="G36" s="16">
        <v>0</v>
      </c>
      <c r="H36" s="16">
        <v>0</v>
      </c>
      <c r="I36" s="16">
        <v>0</v>
      </c>
      <c r="J36" s="17">
        <f>SUM(Table5201727[[#This Row],[0-6 months]:[Year 7]])</f>
        <v>0</v>
      </c>
      <c r="N36" s="3"/>
      <c r="O36" s="3"/>
      <c r="P36" s="3"/>
      <c r="Q36" s="3"/>
      <c r="R36" s="3"/>
      <c r="V36" s="3"/>
      <c r="W36" s="3"/>
      <c r="X36" s="3"/>
      <c r="Y36" s="3"/>
      <c r="Z36" s="3"/>
    </row>
    <row r="37" spans="1:26" x14ac:dyDescent="0.25">
      <c r="A37" s="15"/>
      <c r="B37" s="16">
        <v>0</v>
      </c>
      <c r="C37" s="16">
        <v>0</v>
      </c>
      <c r="D37" s="16">
        <v>0</v>
      </c>
      <c r="E37" s="16">
        <v>0</v>
      </c>
      <c r="F37" s="16">
        <v>0</v>
      </c>
      <c r="G37" s="16">
        <v>0</v>
      </c>
      <c r="H37" s="16">
        <v>0</v>
      </c>
      <c r="I37" s="16">
        <v>0</v>
      </c>
      <c r="J37" s="17">
        <f>SUM(Table5201727[[#This Row],[0-6 months]:[Year 7]])</f>
        <v>0</v>
      </c>
    </row>
    <row r="38" spans="1:26" x14ac:dyDescent="0.25">
      <c r="A38" s="22" t="s">
        <v>11</v>
      </c>
      <c r="B38" s="33">
        <f>SUBTOTAL(109,Table5201727[0-6 months])</f>
        <v>0</v>
      </c>
      <c r="C38" s="33">
        <f>SUBTOTAL(109,Table5201727[Year 1])</f>
        <v>0</v>
      </c>
      <c r="D38" s="33">
        <f>SUBTOTAL(109,Table5201727[Year 2])</f>
        <v>0</v>
      </c>
      <c r="E38" s="33">
        <f>SUBTOTAL(109,Table5201727[Year 3])</f>
        <v>0</v>
      </c>
      <c r="F38" s="33">
        <f>SUBTOTAL(109,Table5201727[Year 4])</f>
        <v>0</v>
      </c>
      <c r="G38" s="33">
        <f>SUBTOTAL(109,Table5201727[Year 5])</f>
        <v>0</v>
      </c>
      <c r="H38" s="33">
        <f>SUBTOTAL(109,Table5201727[Year 6])</f>
        <v>0</v>
      </c>
      <c r="I38" s="33">
        <f>SUBTOTAL(109,Table5201727[Year 7])</f>
        <v>0</v>
      </c>
      <c r="J38" s="31">
        <f>SUBTOTAL(109,Table5201727[Total])</f>
        <v>0</v>
      </c>
      <c r="M38" s="1"/>
      <c r="U38" s="1"/>
    </row>
    <row r="39" spans="1:26" ht="39.950000000000003" customHeight="1" x14ac:dyDescent="0.25">
      <c r="M39" s="1"/>
      <c r="N39" s="3"/>
      <c r="O39" s="3"/>
      <c r="P39" s="3"/>
      <c r="Q39" s="3"/>
      <c r="R39" s="3"/>
      <c r="U39" s="1"/>
      <c r="V39" s="3"/>
      <c r="W39" s="3"/>
      <c r="X39" s="3"/>
      <c r="Y39" s="3"/>
      <c r="Z39" s="3"/>
    </row>
    <row r="40" spans="1:26" x14ac:dyDescent="0.25">
      <c r="A40" s="12" t="s">
        <v>9</v>
      </c>
      <c r="B40" s="40" t="s">
        <v>47</v>
      </c>
      <c r="C40" s="13" t="s">
        <v>0</v>
      </c>
      <c r="D40" s="13" t="s">
        <v>1</v>
      </c>
      <c r="E40" s="13" t="s">
        <v>2</v>
      </c>
      <c r="F40" s="13" t="s">
        <v>3</v>
      </c>
      <c r="G40" s="13" t="s">
        <v>13</v>
      </c>
      <c r="H40" s="13" t="s">
        <v>14</v>
      </c>
      <c r="I40" s="13" t="s">
        <v>15</v>
      </c>
      <c r="J40" s="14" t="s">
        <v>11</v>
      </c>
      <c r="N40" s="3"/>
      <c r="O40" s="3"/>
      <c r="P40" s="3"/>
      <c r="Q40" s="3"/>
      <c r="R40" s="3"/>
      <c r="V40" s="3"/>
      <c r="W40" s="3"/>
      <c r="X40" s="3"/>
      <c r="Y40" s="3"/>
      <c r="Z40" s="3"/>
    </row>
    <row r="41" spans="1:26" x14ac:dyDescent="0.25">
      <c r="A41" s="29"/>
      <c r="B41" s="16">
        <v>0</v>
      </c>
      <c r="C41" s="16">
        <v>0</v>
      </c>
      <c r="D41" s="16">
        <v>0</v>
      </c>
      <c r="E41" s="16">
        <v>0</v>
      </c>
      <c r="F41" s="16">
        <v>0</v>
      </c>
      <c r="G41" s="16">
        <v>0</v>
      </c>
      <c r="H41" s="16">
        <v>0</v>
      </c>
      <c r="I41" s="16">
        <v>0</v>
      </c>
      <c r="J41" s="17">
        <f>SUM(Table6211928[[#This Row],[0-6 months]:[Year 7]])</f>
        <v>0</v>
      </c>
    </row>
    <row r="42" spans="1:26" x14ac:dyDescent="0.25">
      <c r="A42" s="15"/>
      <c r="B42" s="16">
        <v>0</v>
      </c>
      <c r="C42" s="16">
        <v>0</v>
      </c>
      <c r="D42" s="16">
        <v>0</v>
      </c>
      <c r="E42" s="16">
        <v>0</v>
      </c>
      <c r="F42" s="16">
        <v>0</v>
      </c>
      <c r="G42" s="16">
        <v>0</v>
      </c>
      <c r="H42" s="16">
        <v>0</v>
      </c>
      <c r="I42" s="16">
        <v>0</v>
      </c>
      <c r="J42" s="17">
        <f>SUM(Table6211928[[#This Row],[0-6 months]:[Year 7]])</f>
        <v>0</v>
      </c>
      <c r="M42" s="1"/>
      <c r="U42" s="1"/>
    </row>
    <row r="43" spans="1:26" x14ac:dyDescent="0.25">
      <c r="A43" s="22" t="s">
        <v>11</v>
      </c>
      <c r="B43" s="33">
        <f>SUBTOTAL(109,Table6211928[0-6 months])</f>
        <v>0</v>
      </c>
      <c r="C43" s="33">
        <f>SUBTOTAL(109,Table6211928[Year 1])</f>
        <v>0</v>
      </c>
      <c r="D43" s="33">
        <f>SUBTOTAL(109,Table6211928[Year 2])</f>
        <v>0</v>
      </c>
      <c r="E43" s="33">
        <f>SUBTOTAL(109,Table6211928[Year 3])</f>
        <v>0</v>
      </c>
      <c r="F43" s="33">
        <f>SUBTOTAL(109,Table6211928[Year 4])</f>
        <v>0</v>
      </c>
      <c r="G43" s="33">
        <f>SUBTOTAL(109,Table6211928[Year 5])</f>
        <v>0</v>
      </c>
      <c r="H43" s="33">
        <f>SUBTOTAL(109,Table6211928[Year 6])</f>
        <v>0</v>
      </c>
      <c r="I43" s="33">
        <f>SUBTOTAL(109,Table6211928[Year 7])</f>
        <v>0</v>
      </c>
      <c r="J43" s="31">
        <f>SUBTOTAL(109,Table6211928[Total])</f>
        <v>0</v>
      </c>
      <c r="N43" s="3"/>
      <c r="O43" s="3"/>
      <c r="P43" s="3"/>
      <c r="Q43" s="3"/>
      <c r="R43" s="3"/>
      <c r="V43" s="3"/>
      <c r="W43" s="3"/>
      <c r="X43" s="3"/>
      <c r="Y43" s="3"/>
      <c r="Z43" s="3"/>
    </row>
    <row r="44" spans="1:26" ht="39.950000000000003" customHeight="1" x14ac:dyDescent="0.25">
      <c r="N44" s="3"/>
      <c r="O44" s="3"/>
      <c r="P44" s="3"/>
      <c r="Q44" s="3"/>
      <c r="R44" s="3"/>
      <c r="V44" s="3"/>
      <c r="W44" s="3"/>
      <c r="X44" s="3"/>
      <c r="Y44" s="3"/>
      <c r="Z44" s="3"/>
    </row>
    <row r="45" spans="1:26" x14ac:dyDescent="0.25">
      <c r="A45" s="12" t="s">
        <v>10</v>
      </c>
      <c r="B45" s="40" t="s">
        <v>47</v>
      </c>
      <c r="C45" s="13" t="s">
        <v>0</v>
      </c>
      <c r="D45" s="13" t="s">
        <v>1</v>
      </c>
      <c r="E45" s="13" t="s">
        <v>2</v>
      </c>
      <c r="F45" s="13" t="s">
        <v>3</v>
      </c>
      <c r="G45" s="13" t="s">
        <v>13</v>
      </c>
      <c r="H45" s="13" t="s">
        <v>14</v>
      </c>
      <c r="I45" s="13" t="s">
        <v>15</v>
      </c>
      <c r="J45" s="14" t="s">
        <v>11</v>
      </c>
    </row>
    <row r="46" spans="1:26" x14ac:dyDescent="0.25">
      <c r="A46" s="15"/>
      <c r="B46" s="16">
        <v>0</v>
      </c>
      <c r="C46" s="16">
        <v>0</v>
      </c>
      <c r="D46" s="16">
        <v>0</v>
      </c>
      <c r="E46" s="16">
        <v>0</v>
      </c>
      <c r="F46" s="16">
        <v>0</v>
      </c>
      <c r="G46" s="16">
        <v>0</v>
      </c>
      <c r="H46" s="16">
        <v>0</v>
      </c>
      <c r="I46" s="16">
        <v>0</v>
      </c>
      <c r="J46" s="17">
        <f>SUM(Table8232229[[#This Row],[0-6 months]:[Year 7]])</f>
        <v>0</v>
      </c>
    </row>
    <row r="47" spans="1:26" x14ac:dyDescent="0.25">
      <c r="A47" s="15"/>
      <c r="B47" s="16">
        <v>0</v>
      </c>
      <c r="C47" s="16">
        <v>0</v>
      </c>
      <c r="D47" s="16">
        <v>0</v>
      </c>
      <c r="E47" s="16">
        <v>0</v>
      </c>
      <c r="F47" s="16">
        <v>0</v>
      </c>
      <c r="G47" s="16">
        <v>0</v>
      </c>
      <c r="H47" s="16">
        <v>0</v>
      </c>
      <c r="I47" s="16">
        <v>0</v>
      </c>
      <c r="J47" s="17">
        <f>SUM(Table8232229[[#This Row],[0-6 months]:[Year 7]])</f>
        <v>0</v>
      </c>
      <c r="N47" s="3"/>
      <c r="O47" s="3"/>
      <c r="P47" s="3"/>
      <c r="Q47" s="3"/>
      <c r="R47" s="3"/>
      <c r="V47" s="3"/>
      <c r="W47" s="3"/>
      <c r="X47" s="3"/>
      <c r="Y47" s="3"/>
      <c r="Z47" s="3"/>
    </row>
    <row r="48" spans="1:26" x14ac:dyDescent="0.25">
      <c r="A48" s="22" t="s">
        <v>11</v>
      </c>
      <c r="B48" s="33">
        <f>SUBTOTAL(109,Table8232229[0-6 months])</f>
        <v>0</v>
      </c>
      <c r="C48" s="33">
        <f>SUBTOTAL(109,Table8232229[Year 1])</f>
        <v>0</v>
      </c>
      <c r="D48" s="33">
        <f>SUBTOTAL(109,Table8232229[Year 2])</f>
        <v>0</v>
      </c>
      <c r="E48" s="33">
        <f>SUBTOTAL(109,Table8232229[Year 3])</f>
        <v>0</v>
      </c>
      <c r="F48" s="33">
        <f>SUBTOTAL(109,Table8232229[Year 4])</f>
        <v>0</v>
      </c>
      <c r="G48" s="33">
        <f>SUBTOTAL(109,Table8232229[Year 5])</f>
        <v>0</v>
      </c>
      <c r="H48" s="33">
        <f>SUBTOTAL(109,Table8232229[Year 6])</f>
        <v>0</v>
      </c>
      <c r="I48" s="33">
        <f>SUBTOTAL(109,Table8232229[Year 7])</f>
        <v>0</v>
      </c>
      <c r="J48" s="31">
        <f>SUBTOTAL(109,Table8232229[Total])</f>
        <v>0</v>
      </c>
      <c r="N48" s="3"/>
      <c r="O48" s="3"/>
      <c r="P48" s="3"/>
      <c r="Q48" s="3"/>
      <c r="R48" s="3"/>
      <c r="V48" s="3"/>
      <c r="W48" s="3"/>
      <c r="X48" s="3"/>
      <c r="Y48" s="3"/>
      <c r="Z48" s="3"/>
    </row>
    <row r="49" spans="1:26" ht="39.950000000000003" customHeight="1" x14ac:dyDescent="0.25">
      <c r="N49" s="3"/>
      <c r="O49" s="3"/>
      <c r="P49" s="3"/>
      <c r="Q49" s="3"/>
      <c r="R49" s="3"/>
      <c r="V49" s="3"/>
      <c r="W49" s="3"/>
      <c r="X49" s="3"/>
      <c r="Y49" s="3"/>
      <c r="Z49" s="3"/>
    </row>
    <row r="50" spans="1:26" x14ac:dyDescent="0.25">
      <c r="A50" s="24" t="s">
        <v>12</v>
      </c>
      <c r="B50" s="40" t="s">
        <v>47</v>
      </c>
      <c r="C50" s="13" t="s">
        <v>0</v>
      </c>
      <c r="D50" s="13" t="s">
        <v>1</v>
      </c>
      <c r="E50" s="13" t="s">
        <v>2</v>
      </c>
      <c r="F50" s="13" t="s">
        <v>3</v>
      </c>
      <c r="G50" s="13" t="s">
        <v>13</v>
      </c>
      <c r="H50" s="13" t="s">
        <v>14</v>
      </c>
      <c r="I50" s="13" t="s">
        <v>15</v>
      </c>
      <c r="J50" s="14" t="s">
        <v>11</v>
      </c>
      <c r="N50" s="3"/>
      <c r="O50" s="3"/>
      <c r="P50" s="3"/>
      <c r="Q50" s="3"/>
      <c r="R50" s="3"/>
      <c r="V50" s="3"/>
      <c r="W50" s="3"/>
      <c r="X50" s="3"/>
      <c r="Y50" s="3"/>
      <c r="Z50" s="3"/>
    </row>
    <row r="51" spans="1:26" s="1" customFormat="1" x14ac:dyDescent="0.25">
      <c r="A51" s="25" t="s">
        <v>6</v>
      </c>
      <c r="B51" s="26">
        <f>Table2181626[[#Totals],[0-6 months]]</f>
        <v>0</v>
      </c>
      <c r="C51" s="26">
        <f>Table2181626[[#Totals],[Year 1]]</f>
        <v>0</v>
      </c>
      <c r="D51" s="26">
        <f>Table2181626[[#Totals],[Year 2]]</f>
        <v>0</v>
      </c>
      <c r="E51" s="26">
        <f>Table2181626[[#Totals],[Year 3]]</f>
        <v>0</v>
      </c>
      <c r="F51" s="26">
        <f>Table2181626[[#Totals],[Year 4]]</f>
        <v>0</v>
      </c>
      <c r="G51" s="26">
        <f>Table2181626[[#Totals],[Year 5]]</f>
        <v>0</v>
      </c>
      <c r="H51" s="26">
        <f>Table2181626[[#Totals],[Year 6]]</f>
        <v>0</v>
      </c>
      <c r="I51" s="26">
        <f>Table2181626[[#Totals],[Year 7]]</f>
        <v>0</v>
      </c>
      <c r="J51" s="27">
        <f>SUM(Table9242530[[#This Row],[0-6 months]:[Year 7]])</f>
        <v>0</v>
      </c>
      <c r="N51" s="4"/>
      <c r="O51" s="4"/>
      <c r="P51" s="4"/>
      <c r="Q51" s="4"/>
      <c r="R51" s="4"/>
      <c r="V51" s="4"/>
      <c r="W51" s="4"/>
      <c r="X51" s="4"/>
      <c r="Y51" s="4"/>
      <c r="Z51" s="4"/>
    </row>
    <row r="52" spans="1:26" x14ac:dyDescent="0.25">
      <c r="A52" s="25" t="s">
        <v>8</v>
      </c>
      <c r="B52" s="26">
        <f>Table5201727[[#Totals],[0-6 months]]</f>
        <v>0</v>
      </c>
      <c r="C52" s="26">
        <f>Table5201727[[#Totals],[Year 1]]</f>
        <v>0</v>
      </c>
      <c r="D52" s="26">
        <f>Table5201727[[#Totals],[Year 2]]</f>
        <v>0</v>
      </c>
      <c r="E52" s="26">
        <f>Table5201727[[#Totals],[Year 3]]</f>
        <v>0</v>
      </c>
      <c r="F52" s="26">
        <f>Table5201727[[#Totals],[Year 4]]</f>
        <v>0</v>
      </c>
      <c r="G52" s="26">
        <f>Table5201727[[#Totals],[Year 5]]</f>
        <v>0</v>
      </c>
      <c r="H52" s="26">
        <f>Table5201727[[#Totals],[Year 6]]</f>
        <v>0</v>
      </c>
      <c r="I52" s="26">
        <f>Table5201727[[#Totals],[Year 7]]</f>
        <v>0</v>
      </c>
      <c r="J52" s="27">
        <f>SUM(Table9242530[[#This Row],[0-6 months]:[Year 7]])</f>
        <v>0</v>
      </c>
    </row>
    <row r="53" spans="1:26" x14ac:dyDescent="0.25">
      <c r="A53" s="25" t="s">
        <v>9</v>
      </c>
      <c r="B53" s="26">
        <f>Table6211928[[#Totals],[0-6 months]]</f>
        <v>0</v>
      </c>
      <c r="C53" s="26">
        <f>Table6211928[[#Totals],[Year 1]]</f>
        <v>0</v>
      </c>
      <c r="D53" s="26">
        <f>Table6211928[[#Totals],[Year 2]]</f>
        <v>0</v>
      </c>
      <c r="E53" s="26">
        <f>Table6211928[[#Totals],[Year 3]]</f>
        <v>0</v>
      </c>
      <c r="F53" s="26">
        <f>Table6211928[[#Totals],[Year 4]]</f>
        <v>0</v>
      </c>
      <c r="G53" s="26">
        <f>Table6211928[[#Totals],[Year 5]]</f>
        <v>0</v>
      </c>
      <c r="H53" s="26">
        <f>Table6211928[[#Totals],[Year 6]]</f>
        <v>0</v>
      </c>
      <c r="I53" s="26">
        <f>Table6211928[[#Totals],[Year 7]]</f>
        <v>0</v>
      </c>
      <c r="J53" s="27">
        <f>SUM(Table9242530[[#This Row],[0-6 months]:[Year 7]])</f>
        <v>0</v>
      </c>
    </row>
    <row r="54" spans="1:26" x14ac:dyDescent="0.25">
      <c r="A54" s="25" t="s">
        <v>10</v>
      </c>
      <c r="B54" s="26">
        <f>Table8232229[[#Totals],[0-6 months]]</f>
        <v>0</v>
      </c>
      <c r="C54" s="26">
        <f>Table8232229[[#Totals],[Year 1]]</f>
        <v>0</v>
      </c>
      <c r="D54" s="26">
        <f>Table8232229[[#Totals],[Year 2]]</f>
        <v>0</v>
      </c>
      <c r="E54" s="26">
        <f>Table8232229[[#Totals],[Year 3]]</f>
        <v>0</v>
      </c>
      <c r="F54" s="26">
        <f>Table8232229[[#Totals],[Year 4]]</f>
        <v>0</v>
      </c>
      <c r="G54" s="26">
        <f>Table8232229[[#Totals],[Year 5]]</f>
        <v>0</v>
      </c>
      <c r="H54" s="26">
        <f>Table8232229[[#Totals],[Year 6]]</f>
        <v>0</v>
      </c>
      <c r="I54" s="26">
        <f>Table8232229[[#Totals],[Year 7]]</f>
        <v>0</v>
      </c>
      <c r="J54" s="27">
        <f>SUM(Table9242530[[#This Row],[0-6 months]:[Year 7]])</f>
        <v>0</v>
      </c>
    </row>
    <row r="55" spans="1:26" x14ac:dyDescent="0.25">
      <c r="A55" s="23" t="s">
        <v>11</v>
      </c>
      <c r="B55" s="44">
        <f>SUBTOTAL(109,Table9242530[0-6 months])</f>
        <v>0</v>
      </c>
      <c r="C55" s="44">
        <f>SUBTOTAL(109,Table9242530[Year 1])</f>
        <v>0</v>
      </c>
      <c r="D55" s="44">
        <f>SUBTOTAL(109,Table9242530[Year 2])</f>
        <v>0</v>
      </c>
      <c r="E55" s="44">
        <f>SUBTOTAL(109,Table9242530[Year 3])</f>
        <v>0</v>
      </c>
      <c r="F55" s="44">
        <f>SUBTOTAL(109,Table9242530[Year 4])</f>
        <v>0</v>
      </c>
      <c r="G55" s="44">
        <f>SUBTOTAL(109,Table9242530[Year 5])</f>
        <v>0</v>
      </c>
      <c r="H55" s="44">
        <f>SUBTOTAL(109,Table9242530[Year 6])</f>
        <v>0</v>
      </c>
      <c r="I55" s="44">
        <f>SUBTOTAL(109,Table9242530[Year 7])</f>
        <v>0</v>
      </c>
      <c r="J55" s="30">
        <f>SUBTOTAL(109,Table9242530[Total])</f>
        <v>0</v>
      </c>
    </row>
    <row r="56" spans="1:26" x14ac:dyDescent="0.25">
      <c r="A56" s="32"/>
      <c r="B56" s="32"/>
      <c r="C56" s="32"/>
      <c r="D56" s="32"/>
      <c r="E56" s="32"/>
      <c r="F56" s="32"/>
      <c r="G56" s="32"/>
      <c r="H56" s="32"/>
      <c r="I56" s="32"/>
      <c r="J56" s="32"/>
    </row>
  </sheetData>
  <pageMargins left="0.7" right="0.7" top="0.75" bottom="0.75" header="0.3" footer="0.3"/>
  <pageSetup paperSize="9" scale="58" orientation="portrait" r:id="rId1"/>
  <tableParts count="10">
    <tablePart r:id="rId2"/>
    <tablePart r:id="rId3"/>
    <tablePart r:id="rId4"/>
    <tablePart r:id="rId5"/>
    <tablePart r:id="rId6"/>
    <tablePart r:id="rId7"/>
    <tablePart r:id="rId8"/>
    <tablePart r:id="rId9"/>
    <tablePart r:id="rId10"/>
    <tablePart r:id="rId1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34"/>
  <sheetViews>
    <sheetView zoomScaleNormal="100" workbookViewId="0">
      <selection activeCell="J32" sqref="J32"/>
    </sheetView>
  </sheetViews>
  <sheetFormatPr defaultRowHeight="15" x14ac:dyDescent="0.25"/>
  <cols>
    <col min="1" max="1" width="27.28515625" customWidth="1"/>
    <col min="2" max="9" width="14.28515625" customWidth="1"/>
    <col min="10" max="10" width="13.140625" customWidth="1"/>
  </cols>
  <sheetData>
    <row r="1" spans="1:10" ht="30" x14ac:dyDescent="0.25">
      <c r="A1" s="34" t="s">
        <v>23</v>
      </c>
      <c r="B1" s="36">
        <v>24</v>
      </c>
    </row>
    <row r="2" spans="1:10" ht="30" x14ac:dyDescent="0.25">
      <c r="A2" s="34" t="s">
        <v>21</v>
      </c>
      <c r="B2" s="36">
        <v>6</v>
      </c>
      <c r="C2" t="str">
        <f>IF(B2&lt;ROUNDUP(B1/4,0),"The minimum number of additional students is "&amp;ROUNDUP(B1/4,0),"")</f>
        <v/>
      </c>
    </row>
    <row r="3" spans="1:10" ht="30" x14ac:dyDescent="0.25">
      <c r="A3" s="34" t="s">
        <v>22</v>
      </c>
      <c r="B3" s="35">
        <f>B1+B2</f>
        <v>30</v>
      </c>
    </row>
    <row r="6" spans="1:10" x14ac:dyDescent="0.25">
      <c r="A6" s="24" t="s">
        <v>26</v>
      </c>
      <c r="B6" s="13" t="s">
        <v>47</v>
      </c>
      <c r="C6" s="13" t="s">
        <v>0</v>
      </c>
      <c r="D6" s="13" t="s">
        <v>1</v>
      </c>
      <c r="E6" s="13" t="s">
        <v>2</v>
      </c>
      <c r="F6" s="13" t="s">
        <v>3</v>
      </c>
      <c r="G6" s="13" t="s">
        <v>13</v>
      </c>
      <c r="H6" s="13" t="s">
        <v>14</v>
      </c>
      <c r="I6" s="13" t="s">
        <v>15</v>
      </c>
      <c r="J6" s="14" t="s">
        <v>11</v>
      </c>
    </row>
    <row r="7" spans="1:10" x14ac:dyDescent="0.25">
      <c r="A7" s="25" t="s">
        <v>16</v>
      </c>
      <c r="B7" s="21"/>
      <c r="C7" s="26">
        <f>$B$1*'Student Costs'!B$36</f>
        <v>576000</v>
      </c>
      <c r="D7" s="26">
        <f>$B$1*'Student Costs'!C$36</f>
        <v>576000</v>
      </c>
      <c r="E7" s="26">
        <f>$B$1*'Student Costs'!D$36</f>
        <v>576000</v>
      </c>
      <c r="F7" s="26">
        <f>$B$1*'Student Costs'!E$36</f>
        <v>576000</v>
      </c>
      <c r="G7" s="26"/>
      <c r="H7" s="26"/>
      <c r="I7" s="26"/>
      <c r="J7" s="27">
        <f>SUM(Table54[[#This Row],[0-6 months]:[Year 7]])</f>
        <v>2304000</v>
      </c>
    </row>
    <row r="8" spans="1:10" x14ac:dyDescent="0.25">
      <c r="A8" s="25" t="s">
        <v>17</v>
      </c>
      <c r="B8" s="21"/>
      <c r="C8" s="26"/>
      <c r="D8" s="26">
        <f>$B$1*'Student Costs'!B$36</f>
        <v>576000</v>
      </c>
      <c r="E8" s="26">
        <f>$B$1*'Student Costs'!C$36</f>
        <v>576000</v>
      </c>
      <c r="F8" s="26">
        <f>$B$1*'Student Costs'!D$36</f>
        <v>576000</v>
      </c>
      <c r="G8" s="26">
        <f>$B$1*'Student Costs'!E$36</f>
        <v>576000</v>
      </c>
      <c r="H8" s="26"/>
      <c r="I8" s="26"/>
      <c r="J8" s="27">
        <f>SUM(Table54[[#This Row],[0-6 months]:[Year 7]])</f>
        <v>2304000</v>
      </c>
    </row>
    <row r="9" spans="1:10" x14ac:dyDescent="0.25">
      <c r="A9" s="25" t="s">
        <v>18</v>
      </c>
      <c r="B9" s="21"/>
      <c r="C9" s="26"/>
      <c r="D9" s="26"/>
      <c r="E9" s="26">
        <f>$B$1*'Student Costs'!B$36</f>
        <v>576000</v>
      </c>
      <c r="F9" s="26">
        <f>$B$1*'Student Costs'!C$36</f>
        <v>576000</v>
      </c>
      <c r="G9" s="26">
        <f>$B$1*'Student Costs'!D$36</f>
        <v>576000</v>
      </c>
      <c r="H9" s="26">
        <f>$B$1*'Student Costs'!E$36</f>
        <v>576000</v>
      </c>
      <c r="I9" s="26"/>
      <c r="J9" s="27">
        <f>SUM(Table54[[#This Row],[0-6 months]:[Year 7]])</f>
        <v>2304000</v>
      </c>
    </row>
    <row r="10" spans="1:10" x14ac:dyDescent="0.25">
      <c r="A10" s="25" t="s">
        <v>19</v>
      </c>
      <c r="B10" s="21"/>
      <c r="C10" s="26"/>
      <c r="D10" s="26"/>
      <c r="E10" s="26"/>
      <c r="F10" s="26">
        <f>$B$1*'Student Costs'!B$36</f>
        <v>576000</v>
      </c>
      <c r="G10" s="26">
        <f>$B$1*'Student Costs'!C$36</f>
        <v>576000</v>
      </c>
      <c r="H10" s="26">
        <f>$B$1*'Student Costs'!D$36</f>
        <v>576000</v>
      </c>
      <c r="I10" s="26">
        <f>$B$1*'Student Costs'!E$36</f>
        <v>576000</v>
      </c>
      <c r="J10" s="27">
        <f>SUM(Table54[[#This Row],[0-6 months]:[Year 7]])</f>
        <v>2304000</v>
      </c>
    </row>
    <row r="11" spans="1:10" x14ac:dyDescent="0.25">
      <c r="A11" s="25"/>
      <c r="B11" s="21"/>
      <c r="C11" s="26"/>
      <c r="D11" s="26"/>
      <c r="E11" s="26"/>
      <c r="F11" s="26"/>
      <c r="G11" s="26"/>
      <c r="H11" s="26"/>
      <c r="I11" s="26"/>
      <c r="J11" s="27">
        <f>SUM(Table54[[#This Row],[0-6 months]:[Year 7]])</f>
        <v>0</v>
      </c>
    </row>
    <row r="12" spans="1:10" x14ac:dyDescent="0.25">
      <c r="A12" s="25" t="s">
        <v>20</v>
      </c>
      <c r="B12" s="26">
        <f>Table924[[#Totals],[0-6 months]]</f>
        <v>0</v>
      </c>
      <c r="C12" s="26">
        <f>Table924[[#Totals],[Year 1]]</f>
        <v>0</v>
      </c>
      <c r="D12" s="26">
        <f>Table924[[#Totals],[Year 2]]</f>
        <v>0</v>
      </c>
      <c r="E12" s="26">
        <f>Table924[[#Totals],[Year 3]]</f>
        <v>0</v>
      </c>
      <c r="F12" s="26">
        <f>Table924[[#Totals],[Year 4]]</f>
        <v>0</v>
      </c>
      <c r="G12" s="26">
        <f>Table924[[#Totals],[Year 5]]</f>
        <v>0</v>
      </c>
      <c r="H12" s="26">
        <f>Table924[[#Totals],[Year 6]]</f>
        <v>0</v>
      </c>
      <c r="I12" s="26">
        <f>Table924[[#Totals],[Year 7]]</f>
        <v>0</v>
      </c>
      <c r="J12" s="27">
        <f>SUM(Table54[[#This Row],[0-6 months]:[Year 7]])</f>
        <v>0</v>
      </c>
    </row>
    <row r="13" spans="1:10" x14ac:dyDescent="0.25">
      <c r="A13" s="22" t="s">
        <v>11</v>
      </c>
      <c r="B13" s="41">
        <f>SUBTOTAL(109,Table54[0-6 months])</f>
        <v>0</v>
      </c>
      <c r="C13" s="33">
        <f>SUBTOTAL(109,Table54[Year 1])</f>
        <v>576000</v>
      </c>
      <c r="D13" s="33">
        <f>SUBTOTAL(109,Table54[Year 2])</f>
        <v>1152000</v>
      </c>
      <c r="E13" s="33">
        <f>SUBTOTAL(109,Table54[Year 3])</f>
        <v>1728000</v>
      </c>
      <c r="F13" s="33">
        <f>SUBTOTAL(109,Table54[Year 4])</f>
        <v>2304000</v>
      </c>
      <c r="G13" s="33">
        <f>SUBTOTAL(109,Table54[Year 5])</f>
        <v>1728000</v>
      </c>
      <c r="H13" s="33">
        <f>SUBTOTAL(109,Table54[Year 6])</f>
        <v>1152000</v>
      </c>
      <c r="I13" s="33">
        <f>SUBTOTAL(109,Table54[Year 7])</f>
        <v>576000</v>
      </c>
      <c r="J13" s="31">
        <f>SUBTOTAL(109,Table54[Total])</f>
        <v>9216000</v>
      </c>
    </row>
    <row r="15" spans="1:10" x14ac:dyDescent="0.25">
      <c r="A15" s="24" t="s">
        <v>27</v>
      </c>
      <c r="B15" s="13" t="s">
        <v>47</v>
      </c>
      <c r="C15" s="13" t="s">
        <v>0</v>
      </c>
      <c r="D15" s="13" t="s">
        <v>1</v>
      </c>
      <c r="E15" s="13" t="s">
        <v>2</v>
      </c>
      <c r="F15" s="13" t="s">
        <v>3</v>
      </c>
      <c r="G15" s="13" t="s">
        <v>13</v>
      </c>
      <c r="H15" s="13" t="s">
        <v>14</v>
      </c>
      <c r="I15" s="13" t="s">
        <v>15</v>
      </c>
      <c r="J15" s="14" t="s">
        <v>11</v>
      </c>
    </row>
    <row r="16" spans="1:10" x14ac:dyDescent="0.25">
      <c r="A16" s="25" t="s">
        <v>16</v>
      </c>
      <c r="B16" s="21"/>
      <c r="C16" s="26">
        <f>$B$2*'Student Costs'!B$36</f>
        <v>144000</v>
      </c>
      <c r="D16" s="26">
        <f>$B$2*'Student Costs'!C$36</f>
        <v>144000</v>
      </c>
      <c r="E16" s="26">
        <f>$B$2*'Student Costs'!D$36</f>
        <v>144000</v>
      </c>
      <c r="F16" s="26">
        <f>$B$2*'Student Costs'!E$36</f>
        <v>144000</v>
      </c>
      <c r="G16" s="26"/>
      <c r="H16" s="26"/>
      <c r="I16" s="26"/>
      <c r="J16" s="27">
        <f>SUM(Table5456[[#This Row],[0-6 months]:[Year 7]])</f>
        <v>576000</v>
      </c>
    </row>
    <row r="17" spans="1:10" x14ac:dyDescent="0.25">
      <c r="A17" s="25" t="s">
        <v>17</v>
      </c>
      <c r="B17" s="21"/>
      <c r="C17" s="26"/>
      <c r="D17" s="26">
        <f>$B$2*'Student Costs'!B$36</f>
        <v>144000</v>
      </c>
      <c r="E17" s="26">
        <f>$B$2*'Student Costs'!C$36</f>
        <v>144000</v>
      </c>
      <c r="F17" s="26">
        <f>$B$2*'Student Costs'!D$36</f>
        <v>144000</v>
      </c>
      <c r="G17" s="26">
        <f>$B$2*'Student Costs'!E$36</f>
        <v>144000</v>
      </c>
      <c r="H17" s="26"/>
      <c r="I17" s="26"/>
      <c r="J17" s="27">
        <f>SUM(Table5456[[#This Row],[0-6 months]:[Year 7]])</f>
        <v>576000</v>
      </c>
    </row>
    <row r="18" spans="1:10" x14ac:dyDescent="0.25">
      <c r="A18" s="25" t="s">
        <v>18</v>
      </c>
      <c r="B18" s="21"/>
      <c r="C18" s="26"/>
      <c r="D18" s="26"/>
      <c r="E18" s="26">
        <f>$B$2*'Student Costs'!B$36</f>
        <v>144000</v>
      </c>
      <c r="F18" s="26">
        <f>$B$2*'Student Costs'!C$36</f>
        <v>144000</v>
      </c>
      <c r="G18" s="26">
        <f>$B$2*'Student Costs'!D$36</f>
        <v>144000</v>
      </c>
      <c r="H18" s="26">
        <f>$B$2*'Student Costs'!E$36</f>
        <v>144000</v>
      </c>
      <c r="I18" s="26"/>
      <c r="J18" s="27">
        <f>SUM(Table5456[[#This Row],[0-6 months]:[Year 7]])</f>
        <v>576000</v>
      </c>
    </row>
    <row r="19" spans="1:10" x14ac:dyDescent="0.25">
      <c r="A19" s="25" t="s">
        <v>19</v>
      </c>
      <c r="B19" s="21"/>
      <c r="C19" s="26"/>
      <c r="D19" s="26"/>
      <c r="E19" s="26"/>
      <c r="F19" s="26">
        <f>$B$2*'Student Costs'!B$36</f>
        <v>144000</v>
      </c>
      <c r="G19" s="26">
        <f>$B$2*'Student Costs'!C$36</f>
        <v>144000</v>
      </c>
      <c r="H19" s="26">
        <f>$B$2*'Student Costs'!D$36</f>
        <v>144000</v>
      </c>
      <c r="I19" s="26">
        <f>$B$2*'Student Costs'!E$36</f>
        <v>144000</v>
      </c>
      <c r="J19" s="27">
        <f>SUM(Table5456[[#This Row],[0-6 months]:[Year 7]])</f>
        <v>576000</v>
      </c>
    </row>
    <row r="20" spans="1:10" x14ac:dyDescent="0.25">
      <c r="A20" s="25"/>
      <c r="B20" s="21"/>
      <c r="C20" s="26"/>
      <c r="D20" s="26"/>
      <c r="E20" s="26"/>
      <c r="F20" s="26"/>
      <c r="G20" s="26"/>
      <c r="H20" s="26"/>
      <c r="I20" s="26"/>
      <c r="J20" s="27">
        <f>SUM(Table5456[[#This Row],[0-6 months]:[Year 7]])</f>
        <v>0</v>
      </c>
    </row>
    <row r="21" spans="1:10" x14ac:dyDescent="0.25">
      <c r="A21" s="25" t="s">
        <v>29</v>
      </c>
      <c r="B21" s="26">
        <f>Table92425[[#Totals],[0-6 months]]</f>
        <v>0</v>
      </c>
      <c r="C21" s="26">
        <f>Table92425[[#Totals],[Year 1]]</f>
        <v>0</v>
      </c>
      <c r="D21" s="26">
        <f>Table92425[[#Totals],[Year 2]]</f>
        <v>0</v>
      </c>
      <c r="E21" s="26">
        <f>Table92425[[#Totals],[Year 3]]</f>
        <v>0</v>
      </c>
      <c r="F21" s="26">
        <f>Table92425[[#Totals],[Year 4]]</f>
        <v>0</v>
      </c>
      <c r="G21" s="26">
        <f>Table92425[[#Totals],[Year 5]]</f>
        <v>0</v>
      </c>
      <c r="H21" s="26">
        <f>Table92425[[#Totals],[Year 6]]</f>
        <v>0</v>
      </c>
      <c r="I21" s="26">
        <f>Table92425[[#Totals],[Year 7]]</f>
        <v>0</v>
      </c>
      <c r="J21" s="27">
        <f>SUM(Table5456[[#This Row],[0-6 months]:[Year 7]])</f>
        <v>0</v>
      </c>
    </row>
    <row r="22" spans="1:10" x14ac:dyDescent="0.25">
      <c r="A22" s="25" t="s">
        <v>28</v>
      </c>
      <c r="B22" s="26">
        <f>Table9242530[[#Totals],[0-6 months]]</f>
        <v>0</v>
      </c>
      <c r="C22" s="26">
        <f>Table9242530[[#Totals],[Year 1]]</f>
        <v>0</v>
      </c>
      <c r="D22" s="26">
        <f>Table9242530[[#Totals],[Year 2]]</f>
        <v>0</v>
      </c>
      <c r="E22" s="26">
        <f>Table9242530[[#Totals],[Year 3]]</f>
        <v>0</v>
      </c>
      <c r="F22" s="26">
        <f>Table9242530[[#Totals],[Year 4]]</f>
        <v>0</v>
      </c>
      <c r="G22" s="26">
        <f>Table9242530[[#Totals],[Year 5]]</f>
        <v>0</v>
      </c>
      <c r="H22" s="26">
        <f>Table9242530[[#Totals],[Year 6]]</f>
        <v>0</v>
      </c>
      <c r="I22" s="26">
        <f>Table9242530[[#Totals],[Year 7]]</f>
        <v>0</v>
      </c>
      <c r="J22" s="27">
        <f>SUM(Table5456[[#This Row],[0-6 months]:[Year 7]])</f>
        <v>0</v>
      </c>
    </row>
    <row r="23" spans="1:10" x14ac:dyDescent="0.25">
      <c r="A23" s="22" t="s">
        <v>11</v>
      </c>
      <c r="B23" s="41">
        <f>SUBTOTAL(109,Table5456[0-6 months])</f>
        <v>0</v>
      </c>
      <c r="C23" s="33">
        <f>SUBTOTAL(109,Table5456[Year 1])</f>
        <v>144000</v>
      </c>
      <c r="D23" s="33">
        <f>SUBTOTAL(109,Table5456[Year 2])</f>
        <v>288000</v>
      </c>
      <c r="E23" s="33">
        <f>SUBTOTAL(109,Table5456[Year 3])</f>
        <v>432000</v>
      </c>
      <c r="F23" s="33">
        <f>SUBTOTAL(109,Table5456[Year 4])</f>
        <v>576000</v>
      </c>
      <c r="G23" s="33">
        <f>SUBTOTAL(109,Table5456[Year 5])</f>
        <v>432000</v>
      </c>
      <c r="H23" s="33">
        <f>SUBTOTAL(109,Table5456[Year 6])</f>
        <v>288000</v>
      </c>
      <c r="I23" s="33">
        <f>SUBTOTAL(109,Table5456[Year 7])</f>
        <v>144000</v>
      </c>
      <c r="J23" s="31">
        <f>SUBTOTAL(109,Table5456[Total])</f>
        <v>2304000</v>
      </c>
    </row>
    <row r="25" spans="1:10" x14ac:dyDescent="0.25">
      <c r="A25" s="24" t="s">
        <v>30</v>
      </c>
      <c r="B25" s="13" t="s">
        <v>47</v>
      </c>
      <c r="C25" s="13" t="s">
        <v>0</v>
      </c>
      <c r="D25" s="13" t="s">
        <v>1</v>
      </c>
      <c r="E25" s="13" t="s">
        <v>2</v>
      </c>
      <c r="F25" s="13" t="s">
        <v>3</v>
      </c>
      <c r="G25" s="13" t="s">
        <v>13</v>
      </c>
      <c r="H25" s="13" t="s">
        <v>14</v>
      </c>
      <c r="I25" s="13" t="s">
        <v>15</v>
      </c>
      <c r="J25" s="14" t="s">
        <v>11</v>
      </c>
    </row>
    <row r="26" spans="1:10" x14ac:dyDescent="0.25">
      <c r="A26" s="25" t="s">
        <v>16</v>
      </c>
      <c r="B26" s="21"/>
      <c r="C26" s="26">
        <f>C7+C16</f>
        <v>720000</v>
      </c>
      <c r="D26" s="26">
        <f>D7+D16</f>
        <v>720000</v>
      </c>
      <c r="E26" s="26">
        <f>E7+E16</f>
        <v>720000</v>
      </c>
      <c r="F26" s="26">
        <f>F7+F16</f>
        <v>720000</v>
      </c>
      <c r="G26" s="26"/>
      <c r="H26" s="26"/>
      <c r="I26" s="26"/>
      <c r="J26" s="27">
        <f>SUM(Table5470[[#This Row],[0-6 months]:[Year 7]])</f>
        <v>2880000</v>
      </c>
    </row>
    <row r="27" spans="1:10" x14ac:dyDescent="0.25">
      <c r="A27" s="25" t="s">
        <v>17</v>
      </c>
      <c r="B27" s="21"/>
      <c r="C27" s="26"/>
      <c r="D27" s="26">
        <f>D8+D17</f>
        <v>720000</v>
      </c>
      <c r="E27" s="26">
        <f>E8+E17</f>
        <v>720000</v>
      </c>
      <c r="F27" s="26">
        <f>F8+F17</f>
        <v>720000</v>
      </c>
      <c r="G27" s="26">
        <f>G8+G17</f>
        <v>720000</v>
      </c>
      <c r="H27" s="26"/>
      <c r="I27" s="26"/>
      <c r="J27" s="27">
        <f>SUM(Table5470[[#This Row],[0-6 months]:[Year 7]])</f>
        <v>2880000</v>
      </c>
    </row>
    <row r="28" spans="1:10" x14ac:dyDescent="0.25">
      <c r="A28" s="25" t="s">
        <v>18</v>
      </c>
      <c r="B28" s="21"/>
      <c r="C28" s="26"/>
      <c r="D28" s="26"/>
      <c r="E28" s="26">
        <f>E9+E18</f>
        <v>720000</v>
      </c>
      <c r="F28" s="26">
        <f>F9+F18</f>
        <v>720000</v>
      </c>
      <c r="G28" s="26">
        <f>G9+G18</f>
        <v>720000</v>
      </c>
      <c r="H28" s="26">
        <f>H9+H18</f>
        <v>720000</v>
      </c>
      <c r="I28" s="26"/>
      <c r="J28" s="27">
        <f>SUM(Table5470[[#This Row],[0-6 months]:[Year 7]])</f>
        <v>2880000</v>
      </c>
    </row>
    <row r="29" spans="1:10" x14ac:dyDescent="0.25">
      <c r="A29" s="25" t="s">
        <v>19</v>
      </c>
      <c r="B29" s="21"/>
      <c r="C29" s="26"/>
      <c r="D29" s="26"/>
      <c r="E29" s="26"/>
      <c r="F29" s="26">
        <f>F10+F19</f>
        <v>720000</v>
      </c>
      <c r="G29" s="26">
        <f>G10+G19</f>
        <v>720000</v>
      </c>
      <c r="H29" s="26">
        <f>H10+H19</f>
        <v>720000</v>
      </c>
      <c r="I29" s="26">
        <f>I10+I19</f>
        <v>720000</v>
      </c>
      <c r="J29" s="27">
        <f>SUM(Table5470[[#This Row],[0-6 months]:[Year 7]])</f>
        <v>2880000</v>
      </c>
    </row>
    <row r="30" spans="1:10" x14ac:dyDescent="0.25">
      <c r="A30" s="25"/>
      <c r="B30" s="21"/>
      <c r="C30" s="26"/>
      <c r="D30" s="26"/>
      <c r="E30" s="26"/>
      <c r="F30" s="26"/>
      <c r="G30" s="26"/>
      <c r="H30" s="26"/>
      <c r="I30" s="26"/>
      <c r="J30" s="27">
        <f>SUM(Table5470[[#This Row],[0-6 months]:[Year 7]])</f>
        <v>0</v>
      </c>
    </row>
    <row r="31" spans="1:10" x14ac:dyDescent="0.25">
      <c r="A31" s="25" t="s">
        <v>29</v>
      </c>
      <c r="B31" s="26">
        <f t="shared" ref="B31:I31" si="0">B12+B21</f>
        <v>0</v>
      </c>
      <c r="C31" s="26">
        <f t="shared" si="0"/>
        <v>0</v>
      </c>
      <c r="D31" s="26">
        <f t="shared" si="0"/>
        <v>0</v>
      </c>
      <c r="E31" s="26">
        <f t="shared" si="0"/>
        <v>0</v>
      </c>
      <c r="F31" s="26">
        <f t="shared" si="0"/>
        <v>0</v>
      </c>
      <c r="G31" s="26">
        <f t="shared" si="0"/>
        <v>0</v>
      </c>
      <c r="H31" s="26">
        <f t="shared" si="0"/>
        <v>0</v>
      </c>
      <c r="I31" s="26">
        <f t="shared" si="0"/>
        <v>0</v>
      </c>
      <c r="J31" s="27">
        <f>SUM(Table5470[[#This Row],[0-6 months]:[Year 7]])</f>
        <v>0</v>
      </c>
    </row>
    <row r="32" spans="1:10" x14ac:dyDescent="0.25">
      <c r="A32" s="28" t="s">
        <v>31</v>
      </c>
      <c r="B32" s="42">
        <f>SUM(B26:B31)</f>
        <v>0</v>
      </c>
      <c r="C32" s="42">
        <f>SUM(C26:C31)</f>
        <v>720000</v>
      </c>
      <c r="D32" s="42">
        <f t="shared" ref="D32" si="1">SUM(D26:D31)</f>
        <v>1440000</v>
      </c>
      <c r="E32" s="42">
        <f t="shared" ref="E32" si="2">SUM(E26:E31)</f>
        <v>2160000</v>
      </c>
      <c r="F32" s="42">
        <f t="shared" ref="F32" si="3">SUM(F26:F31)</f>
        <v>2880000</v>
      </c>
      <c r="G32" s="42">
        <f t="shared" ref="G32" si="4">SUM(G26:G31)</f>
        <v>2160000</v>
      </c>
      <c r="H32" s="42">
        <f t="shared" ref="H32" si="5">SUM(H26:H31)</f>
        <v>1440000</v>
      </c>
      <c r="I32" s="42">
        <f t="shared" ref="I32" si="6">SUM(I26:I31)</f>
        <v>720000</v>
      </c>
      <c r="J32" s="45">
        <f>SUM(Table5470[[#This Row],[0-6 months]:[Year 7]])</f>
        <v>11520000</v>
      </c>
    </row>
    <row r="33" spans="1:10" x14ac:dyDescent="0.25">
      <c r="A33" s="28" t="s">
        <v>28</v>
      </c>
      <c r="B33" s="42">
        <f t="shared" ref="B33:I33" si="7">B22</f>
        <v>0</v>
      </c>
      <c r="C33" s="42">
        <f t="shared" si="7"/>
        <v>0</v>
      </c>
      <c r="D33" s="42">
        <f t="shared" si="7"/>
        <v>0</v>
      </c>
      <c r="E33" s="42">
        <f t="shared" si="7"/>
        <v>0</v>
      </c>
      <c r="F33" s="42">
        <f t="shared" si="7"/>
        <v>0</v>
      </c>
      <c r="G33" s="42">
        <f t="shared" si="7"/>
        <v>0</v>
      </c>
      <c r="H33" s="42">
        <f t="shared" si="7"/>
        <v>0</v>
      </c>
      <c r="I33" s="42">
        <f t="shared" si="7"/>
        <v>0</v>
      </c>
      <c r="J33" s="45">
        <f>SUM(Table5470[[#This Row],[0-6 months]:[Year 7]])</f>
        <v>0</v>
      </c>
    </row>
    <row r="34" spans="1:10" x14ac:dyDescent="0.25">
      <c r="A34" s="18" t="s">
        <v>32</v>
      </c>
      <c r="B34" s="19">
        <f>SUM(B32:B33)</f>
        <v>0</v>
      </c>
      <c r="C34" s="19">
        <f>SUM(C32:C33)</f>
        <v>720000</v>
      </c>
      <c r="D34" s="19">
        <f t="shared" ref="D34:I34" si="8">SUM(D32:D33)</f>
        <v>1440000</v>
      </c>
      <c r="E34" s="19">
        <f t="shared" si="8"/>
        <v>2160000</v>
      </c>
      <c r="F34" s="19">
        <f t="shared" si="8"/>
        <v>2880000</v>
      </c>
      <c r="G34" s="19">
        <f t="shared" si="8"/>
        <v>2160000</v>
      </c>
      <c r="H34" s="19">
        <f t="shared" si="8"/>
        <v>1440000</v>
      </c>
      <c r="I34" s="19">
        <f t="shared" si="8"/>
        <v>720000</v>
      </c>
      <c r="J34" s="20">
        <f>SUM(Table5470[[#This Row],[0-6 months]:[Year 7]])</f>
        <v>11520000</v>
      </c>
    </row>
  </sheetData>
  <pageMargins left="0.7" right="0.7" top="0.75" bottom="0.75" header="0.3" footer="0.3"/>
  <pageSetup paperSize="9" scale="56" orientation="landscape"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workbookViewId="0">
      <selection activeCell="J25" sqref="J25"/>
    </sheetView>
  </sheetViews>
  <sheetFormatPr defaultRowHeight="15" x14ac:dyDescent="0.25"/>
  <cols>
    <col min="1" max="1" width="37" customWidth="1"/>
    <col min="2" max="9" width="14.28515625" customWidth="1"/>
    <col min="10" max="10" width="13.7109375" customWidth="1"/>
  </cols>
  <sheetData>
    <row r="1" spans="1:10" x14ac:dyDescent="0.25">
      <c r="A1" s="54" t="s">
        <v>44</v>
      </c>
      <c r="B1" s="55"/>
      <c r="C1" s="55"/>
      <c r="D1" s="55"/>
      <c r="E1" s="55"/>
      <c r="F1" s="55"/>
      <c r="G1" s="55"/>
      <c r="H1" s="55"/>
      <c r="I1" s="55"/>
      <c r="J1" s="55"/>
    </row>
    <row r="4" spans="1:10" x14ac:dyDescent="0.25">
      <c r="A4" t="s">
        <v>6</v>
      </c>
      <c r="B4" t="s">
        <v>0</v>
      </c>
      <c r="C4" t="s">
        <v>1</v>
      </c>
      <c r="D4" t="s">
        <v>2</v>
      </c>
      <c r="E4" t="s">
        <v>3</v>
      </c>
      <c r="F4" t="s">
        <v>13</v>
      </c>
      <c r="G4" t="s">
        <v>14</v>
      </c>
      <c r="H4" t="s">
        <v>15</v>
      </c>
      <c r="I4" t="s">
        <v>48</v>
      </c>
      <c r="J4" t="s">
        <v>11</v>
      </c>
    </row>
    <row r="5" spans="1:10" x14ac:dyDescent="0.25">
      <c r="A5" t="s">
        <v>33</v>
      </c>
      <c r="C5" s="3">
        <f>'Summary Budget'!$B$1*('Student Costs'!B4)</f>
        <v>444000</v>
      </c>
      <c r="D5" s="3">
        <f>'Summary Budget'!$B$1*('Student Costs'!C4+'Student Costs'!B4)</f>
        <v>888000</v>
      </c>
      <c r="E5" s="3">
        <f>'Summary Budget'!$B$1*('Student Costs'!D4+'Student Costs'!C4+'Student Costs'!B4)</f>
        <v>1332000</v>
      </c>
      <c r="F5" s="3">
        <f>'Summary Budget'!$B$1*('Student Costs'!E4+'Student Costs'!D4+'Student Costs'!C4+'Student Costs'!B4)</f>
        <v>1776000</v>
      </c>
      <c r="G5" s="3">
        <f>'Summary Budget'!$B$1*('Student Costs'!E4+'Student Costs'!D4+'Student Costs'!C4)</f>
        <v>1332000</v>
      </c>
      <c r="H5" s="3">
        <f>'Summary Budget'!$B$1*('Student Costs'!E4+'Student Costs'!D4)</f>
        <v>888000</v>
      </c>
      <c r="I5" s="3">
        <f>'Summary Budget'!$B$1*('Student Costs'!E4)</f>
        <v>444000</v>
      </c>
      <c r="J5" s="3">
        <f>SUM(Table5472[[#This Row],[Year 1]:[Year 8]])</f>
        <v>7104000</v>
      </c>
    </row>
    <row r="6" spans="1:10" x14ac:dyDescent="0.25">
      <c r="A6" t="s">
        <v>34</v>
      </c>
      <c r="C6" s="3">
        <f>'Summary Budget'!$B$1*('Student Costs'!B5)</f>
        <v>132000</v>
      </c>
      <c r="D6" s="3">
        <f>'Summary Budget'!$B$1*('Student Costs'!C5+'Student Costs'!B5)</f>
        <v>264000</v>
      </c>
      <c r="E6" s="3">
        <f>'Summary Budget'!$B$1*('Student Costs'!D5+'Student Costs'!C5+'Student Costs'!B5)</f>
        <v>396000</v>
      </c>
      <c r="F6" s="3">
        <f>'Summary Budget'!$B$1*('Student Costs'!E5+'Student Costs'!D5+'Student Costs'!C5+'Student Costs'!B5)</f>
        <v>528000</v>
      </c>
      <c r="G6" s="3">
        <f>'Summary Budget'!$B$1*('Student Costs'!E5+'Student Costs'!D5+'Student Costs'!C5)</f>
        <v>396000</v>
      </c>
      <c r="H6" s="3">
        <f>'Summary Budget'!$B$1*('Student Costs'!E5+'Student Costs'!D5)</f>
        <v>264000</v>
      </c>
      <c r="I6" s="3">
        <f>'Summary Budget'!$B$1*('Student Costs'!E5)</f>
        <v>132000</v>
      </c>
      <c r="J6" s="3">
        <f>SUM(Table5472[[#This Row],[Year 1]:[Year 8]])</f>
        <v>2112000</v>
      </c>
    </row>
    <row r="7" spans="1:10" x14ac:dyDescent="0.25">
      <c r="A7" t="s">
        <v>24</v>
      </c>
      <c r="B7" s="3">
        <f>'SFI Operational Costs'!B23</f>
        <v>0</v>
      </c>
      <c r="C7" s="3">
        <f>'SFI Operational Costs'!C23</f>
        <v>0</v>
      </c>
      <c r="D7" s="3">
        <f>'SFI Operational Costs'!D23</f>
        <v>0</v>
      </c>
      <c r="E7" s="3">
        <f>'SFI Operational Costs'!E23</f>
        <v>0</v>
      </c>
      <c r="F7" s="3">
        <f>'SFI Operational Costs'!F23</f>
        <v>0</v>
      </c>
      <c r="G7" s="3">
        <f>'SFI Operational Costs'!G23</f>
        <v>0</v>
      </c>
      <c r="H7" s="3">
        <f>'SFI Operational Costs'!H23</f>
        <v>0</v>
      </c>
      <c r="I7" s="3">
        <f>'SFI Operational Costs'!I23</f>
        <v>0</v>
      </c>
      <c r="J7" s="3">
        <f>SUM(Table5472[[#This Row],[Year 1]:[Year 8]])</f>
        <v>0</v>
      </c>
    </row>
    <row r="8" spans="1:10" x14ac:dyDescent="0.25">
      <c r="A8" t="s">
        <v>11</v>
      </c>
      <c r="B8">
        <f>SUBTOTAL(109,Table5472[Year 1])</f>
        <v>0</v>
      </c>
      <c r="C8" s="9">
        <f>SUBTOTAL(109,Table5472[Year 2])</f>
        <v>576000</v>
      </c>
      <c r="D8" s="9">
        <f>SUBTOTAL(109,Table5472[Year 3])</f>
        <v>1152000</v>
      </c>
      <c r="E8" s="9">
        <f>SUBTOTAL(109,Table5472[Year 4])</f>
        <v>1728000</v>
      </c>
      <c r="F8" s="9">
        <f>SUBTOTAL(109,Table5472[Year 5])</f>
        <v>2304000</v>
      </c>
      <c r="G8" s="9">
        <f>SUBTOTAL(109,Table5472[Year 6])</f>
        <v>1728000</v>
      </c>
      <c r="H8" s="9">
        <f>SUBTOTAL(109,Table5472[Year 7])</f>
        <v>1152000</v>
      </c>
      <c r="I8" s="9">
        <f>SUBTOTAL(109,Table5472[Year 8])</f>
        <v>576000</v>
      </c>
      <c r="J8" s="9">
        <f>SUBTOTAL(109,Table5472[Total])</f>
        <v>9216000</v>
      </c>
    </row>
    <row r="9" spans="1:10" x14ac:dyDescent="0.25">
      <c r="B9" s="3"/>
      <c r="C9" s="3"/>
      <c r="D9" s="3"/>
      <c r="E9" s="3"/>
      <c r="F9" s="3"/>
      <c r="G9" s="3"/>
      <c r="H9" s="3"/>
      <c r="I9" s="3"/>
    </row>
    <row r="10" spans="1:10" x14ac:dyDescent="0.25">
      <c r="A10" t="s">
        <v>7</v>
      </c>
      <c r="B10" t="s">
        <v>0</v>
      </c>
      <c r="C10" t="s">
        <v>1</v>
      </c>
      <c r="D10" t="s">
        <v>2</v>
      </c>
      <c r="E10" t="s">
        <v>3</v>
      </c>
      <c r="F10" t="s">
        <v>13</v>
      </c>
      <c r="G10" t="s">
        <v>14</v>
      </c>
      <c r="H10" t="s">
        <v>15</v>
      </c>
      <c r="I10" t="s">
        <v>48</v>
      </c>
      <c r="J10" t="s">
        <v>11</v>
      </c>
    </row>
    <row r="11" spans="1:10" x14ac:dyDescent="0.25">
      <c r="A11" t="s">
        <v>35</v>
      </c>
      <c r="B11" s="3"/>
      <c r="C11" s="3">
        <f>'Summary Budget'!$B$1*('Student Costs'!B32)</f>
        <v>0</v>
      </c>
      <c r="D11" s="3">
        <f>'Summary Budget'!$B$1*('Student Costs'!C32+'Student Costs'!B32)</f>
        <v>0</v>
      </c>
      <c r="E11" s="3">
        <f>'Summary Budget'!$B$1*('Student Costs'!D32+'Student Costs'!C32+'Student Costs'!B32)</f>
        <v>0</v>
      </c>
      <c r="F11" s="3">
        <f>'Summary Budget'!$B$1*('Student Costs'!E32+'Student Costs'!D32+'Student Costs'!C32+'Student Costs'!B32)</f>
        <v>0</v>
      </c>
      <c r="G11" s="3">
        <f>'Summary Budget'!$B$1*('Student Costs'!E32+'Student Costs'!D32+'Student Costs'!C32)</f>
        <v>0</v>
      </c>
      <c r="H11" s="3">
        <f>'Summary Budget'!$B$1*('Student Costs'!E32+'Student Costs'!D32)</f>
        <v>0</v>
      </c>
      <c r="I11" s="3">
        <f>'Summary Budget'!$B$1*('Student Costs'!E32)</f>
        <v>0</v>
      </c>
      <c r="J11" s="3">
        <f>SUM(Table547274[[#This Row],[Year 1]:[Year 8]])</f>
        <v>0</v>
      </c>
    </row>
    <row r="12" spans="1:10" x14ac:dyDescent="0.25">
      <c r="A12" t="s">
        <v>11</v>
      </c>
      <c r="B12" s="9">
        <f>SUBTOTAL(109,Table547274[Year 1])</f>
        <v>0</v>
      </c>
      <c r="C12" s="9">
        <f>SUBTOTAL(109,Table547274[Year 2])</f>
        <v>0</v>
      </c>
      <c r="D12" s="9">
        <f>SUBTOTAL(109,Table547274[Year 3])</f>
        <v>0</v>
      </c>
      <c r="E12" s="9">
        <f>SUBTOTAL(109,Table547274[Year 4])</f>
        <v>0</v>
      </c>
      <c r="F12" s="9">
        <f>SUBTOTAL(109,Table547274[Year 5])</f>
        <v>0</v>
      </c>
      <c r="G12" s="9">
        <f>SUBTOTAL(109,Table547274[Year 6])</f>
        <v>0</v>
      </c>
      <c r="H12" s="9">
        <f>SUBTOTAL(109,Table547274[Year 7])</f>
        <v>0</v>
      </c>
      <c r="I12" s="9">
        <f>SUBTOTAL(109,Table547274[Year 8])</f>
        <v>0</v>
      </c>
      <c r="J12" s="9">
        <f>SUBTOTAL(109,Table547274[Total])</f>
        <v>0</v>
      </c>
    </row>
    <row r="13" spans="1:10" x14ac:dyDescent="0.25">
      <c r="B13" s="3"/>
      <c r="C13" s="3"/>
      <c r="D13" s="3"/>
      <c r="E13" s="3"/>
      <c r="F13" s="3"/>
      <c r="G13" s="3"/>
      <c r="H13" s="3"/>
      <c r="I13" s="3"/>
    </row>
    <row r="14" spans="1:10" x14ac:dyDescent="0.25">
      <c r="A14" t="s">
        <v>36</v>
      </c>
      <c r="B14" t="s">
        <v>0</v>
      </c>
      <c r="C14" t="s">
        <v>1</v>
      </c>
      <c r="D14" t="s">
        <v>2</v>
      </c>
      <c r="E14" t="s">
        <v>3</v>
      </c>
      <c r="F14" t="s">
        <v>13</v>
      </c>
      <c r="G14" t="s">
        <v>14</v>
      </c>
      <c r="H14" t="s">
        <v>15</v>
      </c>
      <c r="I14" t="s">
        <v>48</v>
      </c>
      <c r="J14" t="s">
        <v>11</v>
      </c>
    </row>
    <row r="15" spans="1:10" x14ac:dyDescent="0.25">
      <c r="A15" t="s">
        <v>40</v>
      </c>
      <c r="B15" s="9"/>
      <c r="C15" s="3">
        <f>'Summary Budget'!$B$1*('Student Costs'!B33)</f>
        <v>0</v>
      </c>
      <c r="D15" s="3">
        <f>'Summary Budget'!$B$1*('Student Costs'!C33+'Student Costs'!B33)</f>
        <v>0</v>
      </c>
      <c r="E15" s="3">
        <f>'Summary Budget'!$B$1*('Student Costs'!D33+'Student Costs'!C33+'Student Costs'!B33)</f>
        <v>0</v>
      </c>
      <c r="F15" s="3">
        <f>'Summary Budget'!$B$1*('Student Costs'!E33+'Student Costs'!D33+'Student Costs'!C33+'Student Costs'!B33)</f>
        <v>0</v>
      </c>
      <c r="G15" s="3">
        <f>'Summary Budget'!$B$1*('Student Costs'!E33+'Student Costs'!D33+'Student Costs'!C33)</f>
        <v>0</v>
      </c>
      <c r="H15" s="3">
        <f>'Summary Budget'!$B$1*('Student Costs'!E33+'Student Costs'!D33)</f>
        <v>0</v>
      </c>
      <c r="I15" s="3">
        <f>'Summary Budget'!$B$1*('Student Costs'!E33)</f>
        <v>0</v>
      </c>
      <c r="J15" s="3">
        <f>SUM(Table547275[[#This Row],[Year 1]:[Year 8]])</f>
        <v>0</v>
      </c>
    </row>
    <row r="16" spans="1:10" x14ac:dyDescent="0.25">
      <c r="A16" t="s">
        <v>25</v>
      </c>
      <c r="B16" s="3">
        <f>'SFI Operational Costs'!B24</f>
        <v>0</v>
      </c>
      <c r="C16" s="3">
        <f>'SFI Operational Costs'!C24</f>
        <v>0</v>
      </c>
      <c r="D16" s="3">
        <f>'SFI Operational Costs'!D24</f>
        <v>0</v>
      </c>
      <c r="E16" s="3">
        <f>'SFI Operational Costs'!E24</f>
        <v>0</v>
      </c>
      <c r="F16" s="3">
        <f>'SFI Operational Costs'!F24</f>
        <v>0</v>
      </c>
      <c r="G16" s="3">
        <f>'SFI Operational Costs'!G24</f>
        <v>0</v>
      </c>
      <c r="H16" s="3">
        <f>'SFI Operational Costs'!H24</f>
        <v>0</v>
      </c>
      <c r="I16" s="3">
        <f>'SFI Operational Costs'!I24</f>
        <v>0</v>
      </c>
      <c r="J16" s="3">
        <f>SUM(Table547275[[#This Row],[Year 1]:[Year 8]])</f>
        <v>0</v>
      </c>
    </row>
    <row r="17" spans="1:10" x14ac:dyDescent="0.25">
      <c r="A17" t="s">
        <v>11</v>
      </c>
      <c r="B17" s="9">
        <f>SUBTOTAL(109,Table547275[Year 1])</f>
        <v>0</v>
      </c>
      <c r="C17" s="9">
        <f>SUBTOTAL(109,Table547275[Year 2])</f>
        <v>0</v>
      </c>
      <c r="D17" s="9">
        <f>SUBTOTAL(109,Table547275[Year 3])</f>
        <v>0</v>
      </c>
      <c r="E17" s="9">
        <f>SUBTOTAL(109,Table547275[Year 4])</f>
        <v>0</v>
      </c>
      <c r="F17" s="9">
        <f>SUBTOTAL(109,Table547275[Year 5])</f>
        <v>0</v>
      </c>
      <c r="G17" s="9">
        <f>SUBTOTAL(109,Table547275[Year 6])</f>
        <v>0</v>
      </c>
      <c r="H17" s="9">
        <f>SUBTOTAL(109,Table547275[Year 7])</f>
        <v>0</v>
      </c>
      <c r="I17" s="9">
        <f>SUBTOTAL(109,Table547275[Year 8])</f>
        <v>0</v>
      </c>
      <c r="J17" s="9">
        <f>SUBTOTAL(109,Table547275[Total])</f>
        <v>0</v>
      </c>
    </row>
    <row r="19" spans="1:10" x14ac:dyDescent="0.25">
      <c r="A19" t="s">
        <v>37</v>
      </c>
      <c r="B19" t="s">
        <v>0</v>
      </c>
      <c r="C19" t="s">
        <v>1</v>
      </c>
      <c r="D19" t="s">
        <v>2</v>
      </c>
      <c r="E19" t="s">
        <v>3</v>
      </c>
      <c r="F19" t="s">
        <v>13</v>
      </c>
      <c r="G19" t="s">
        <v>14</v>
      </c>
      <c r="H19" t="s">
        <v>15</v>
      </c>
      <c r="I19" t="s">
        <v>48</v>
      </c>
      <c r="J19" t="s">
        <v>11</v>
      </c>
    </row>
    <row r="20" spans="1:10" x14ac:dyDescent="0.25">
      <c r="A20" t="s">
        <v>38</v>
      </c>
      <c r="B20" s="9"/>
      <c r="C20" s="3">
        <f>'Summary Budget'!$B$1*('Student Costs'!B34)</f>
        <v>0</v>
      </c>
      <c r="D20" s="3">
        <f>'Summary Budget'!$B$1*('Student Costs'!C34+'Student Costs'!B34)</f>
        <v>0</v>
      </c>
      <c r="E20" s="3">
        <f>'Summary Budget'!$B$1*('Student Costs'!D34+'Student Costs'!C34+'Student Costs'!B34)</f>
        <v>0</v>
      </c>
      <c r="F20" s="3">
        <f>'Summary Budget'!$B$1*('Student Costs'!E34+'Student Costs'!D34+'Student Costs'!C34+'Student Costs'!B34)</f>
        <v>0</v>
      </c>
      <c r="G20" s="3">
        <f>'Summary Budget'!$B$1*('Student Costs'!E34+'Student Costs'!D34+'Student Costs'!C34)</f>
        <v>0</v>
      </c>
      <c r="H20" s="3">
        <f>'Summary Budget'!$B$1*('Student Costs'!E34+'Student Costs'!D34)</f>
        <v>0</v>
      </c>
      <c r="I20" s="3">
        <f>'Summary Budget'!$B$1*('Student Costs'!E34)</f>
        <v>0</v>
      </c>
      <c r="J20" s="3">
        <f>SUM(Table54727576[[#This Row],[Year 1]:[Year 8]])</f>
        <v>0</v>
      </c>
    </row>
    <row r="21" spans="1:10" x14ac:dyDescent="0.25">
      <c r="A21" t="s">
        <v>39</v>
      </c>
      <c r="B21" s="3">
        <f>'SFI Operational Costs'!B25</f>
        <v>0</v>
      </c>
      <c r="C21" s="3">
        <f>'SFI Operational Costs'!C25</f>
        <v>0</v>
      </c>
      <c r="D21" s="3">
        <f>'SFI Operational Costs'!D25</f>
        <v>0</v>
      </c>
      <c r="E21" s="3">
        <f>'SFI Operational Costs'!E25</f>
        <v>0</v>
      </c>
      <c r="F21" s="3">
        <f>'SFI Operational Costs'!F25</f>
        <v>0</v>
      </c>
      <c r="G21" s="3">
        <f>'SFI Operational Costs'!G25</f>
        <v>0</v>
      </c>
      <c r="H21" s="3">
        <f>'SFI Operational Costs'!H25</f>
        <v>0</v>
      </c>
      <c r="I21" s="3">
        <f>'SFI Operational Costs'!I25</f>
        <v>0</v>
      </c>
      <c r="J21" s="3">
        <f>SUM(Table54727576[[#This Row],[Year 1]:[Year 8]])</f>
        <v>0</v>
      </c>
    </row>
    <row r="22" spans="1:10" x14ac:dyDescent="0.25">
      <c r="A22" t="s">
        <v>11</v>
      </c>
      <c r="B22" s="9">
        <f>SUBTOTAL(109,Table54727576[Year 1])</f>
        <v>0</v>
      </c>
      <c r="C22" s="9">
        <f>SUBTOTAL(109,Table54727576[Year 2])</f>
        <v>0</v>
      </c>
      <c r="D22" s="9">
        <f>SUBTOTAL(109,Table54727576[Year 3])</f>
        <v>0</v>
      </c>
      <c r="E22" s="9">
        <f>SUBTOTAL(109,Table54727576[Year 4])</f>
        <v>0</v>
      </c>
      <c r="F22" s="9">
        <f>SUBTOTAL(109,Table54727576[Year 5])</f>
        <v>0</v>
      </c>
      <c r="G22" s="9">
        <f>SUBTOTAL(109,Table54727576[Year 6])</f>
        <v>0</v>
      </c>
      <c r="H22" s="9">
        <f>SUBTOTAL(109,Table54727576[Year 7])</f>
        <v>0</v>
      </c>
      <c r="I22" s="9">
        <f>SUBTOTAL(109,Table54727576[Year 8])</f>
        <v>0</v>
      </c>
      <c r="J22" s="9">
        <f>SUBTOTAL(109,Table54727576[Total])</f>
        <v>0</v>
      </c>
    </row>
    <row r="24" spans="1:10" ht="22.5" customHeight="1" x14ac:dyDescent="0.25">
      <c r="A24" t="s">
        <v>43</v>
      </c>
      <c r="B24" t="s">
        <v>0</v>
      </c>
      <c r="C24" t="s">
        <v>1</v>
      </c>
      <c r="D24" t="s">
        <v>2</v>
      </c>
      <c r="E24" t="s">
        <v>3</v>
      </c>
      <c r="F24" t="s">
        <v>13</v>
      </c>
      <c r="G24" t="s">
        <v>14</v>
      </c>
      <c r="H24" t="s">
        <v>15</v>
      </c>
      <c r="I24" t="s">
        <v>48</v>
      </c>
      <c r="J24" t="s">
        <v>11</v>
      </c>
    </row>
    <row r="25" spans="1:10" x14ac:dyDescent="0.25">
      <c r="A25" t="s">
        <v>41</v>
      </c>
      <c r="B25" s="9"/>
      <c r="C25" s="3">
        <f>'Summary Budget'!$B$1*('Student Costs'!B35)</f>
        <v>0</v>
      </c>
      <c r="D25" s="3">
        <f>'Summary Budget'!$B$1*('Student Costs'!C35+'Student Costs'!B35)</f>
        <v>0</v>
      </c>
      <c r="E25" s="3">
        <f>'Summary Budget'!$B$1*('Student Costs'!D35+'Student Costs'!C35+'Student Costs'!B35)</f>
        <v>0</v>
      </c>
      <c r="F25" s="3">
        <f>'Summary Budget'!$B$1*('Student Costs'!E35+'Student Costs'!D35+'Student Costs'!C35+'Student Costs'!B35)</f>
        <v>0</v>
      </c>
      <c r="G25" s="3">
        <f>'Summary Budget'!$B$1*('Student Costs'!E35+'Student Costs'!D35+'Student Costs'!C35)</f>
        <v>0</v>
      </c>
      <c r="H25" s="3">
        <f>'Summary Budget'!$B$1*('Student Costs'!E35+'Student Costs'!D35)</f>
        <v>0</v>
      </c>
      <c r="I25" s="3">
        <f>'Summary Budget'!$B$1*('Student Costs'!E35)</f>
        <v>0</v>
      </c>
      <c r="J25" s="3">
        <f>SUM(Table5472757677[[#This Row],[Year 1]:[Year 8]])</f>
        <v>0</v>
      </c>
    </row>
    <row r="26" spans="1:10" x14ac:dyDescent="0.25">
      <c r="A26" t="s">
        <v>42</v>
      </c>
      <c r="B26" s="3">
        <f>Table924[[#This Row],[0-6 months]]</f>
        <v>0</v>
      </c>
      <c r="C26" s="3">
        <f>Table924[[#This Row],[Year 1]]</f>
        <v>0</v>
      </c>
      <c r="D26" s="3">
        <f>Table924[[#This Row],[Year 2]]</f>
        <v>0</v>
      </c>
      <c r="E26" s="3">
        <f>Table924[[#This Row],[Year 3]]</f>
        <v>0</v>
      </c>
      <c r="F26" s="3">
        <f>Table924[[#This Row],[Year 4]]</f>
        <v>0</v>
      </c>
      <c r="G26" s="3">
        <f>Table924[[#This Row],[Year 5]]</f>
        <v>0</v>
      </c>
      <c r="H26" s="3">
        <f>Table924[[#This Row],[Year 6]]</f>
        <v>0</v>
      </c>
      <c r="I26" s="3">
        <f>Table924[[#This Row],[Year 7]]</f>
        <v>0</v>
      </c>
      <c r="J26" s="3">
        <f>SUM(Table5472757677[[#This Row],[Year 1]:[Year 8]])</f>
        <v>0</v>
      </c>
    </row>
    <row r="27" spans="1:10" x14ac:dyDescent="0.25">
      <c r="A27" t="s">
        <v>11</v>
      </c>
      <c r="B27" s="9">
        <f>SUBTOTAL(109,Table5472757677[Year 1])</f>
        <v>0</v>
      </c>
      <c r="C27" s="9">
        <f>SUBTOTAL(109,Table5472757677[Year 2])</f>
        <v>0</v>
      </c>
      <c r="D27" s="9">
        <f>SUBTOTAL(109,Table5472757677[Year 3])</f>
        <v>0</v>
      </c>
      <c r="E27" s="9">
        <f>SUBTOTAL(109,Table5472757677[Year 4])</f>
        <v>0</v>
      </c>
      <c r="F27" s="9">
        <f>SUBTOTAL(109,Table5472757677[Year 5])</f>
        <v>0</v>
      </c>
      <c r="G27" s="9">
        <f>SUBTOTAL(109,Table5472757677[Year 6])</f>
        <v>0</v>
      </c>
      <c r="H27" s="9">
        <f>SUBTOTAL(109,Table5472757677[Year 7])</f>
        <v>0</v>
      </c>
      <c r="I27" s="9">
        <f>SUBTOTAL(109,Table5472757677[Year 8])</f>
        <v>0</v>
      </c>
      <c r="J27" s="9">
        <f>SUBTOTAL(109,Table5472757677[Total])</f>
        <v>0</v>
      </c>
    </row>
    <row r="29" spans="1:10" x14ac:dyDescent="0.25">
      <c r="H29" s="5" t="s">
        <v>45</v>
      </c>
      <c r="I29" s="6"/>
      <c r="J29" s="46">
        <f>Table5472[[#Totals],[Total]]+Table547274[[#Totals],[Total]]+Table547275[[#Totals],[Total]]+Table54727576[[#Totals],[Total]]+Table5472757677[[#Totals],[Total]]</f>
        <v>9216000</v>
      </c>
    </row>
  </sheetData>
  <mergeCells count="1">
    <mergeCell ref="A1:J1"/>
  </mergeCells>
  <pageMargins left="0.7" right="0.7" top="0.75" bottom="0.75" header="0.3" footer="0.3"/>
  <pageSetup paperSize="9" scale="56" orientation="landscape"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Guidance</vt:lpstr>
      <vt:lpstr>Student Costs</vt:lpstr>
      <vt:lpstr>SFI Operational Costs</vt:lpstr>
      <vt:lpstr>Partner Operational Costs (opt)</vt:lpstr>
      <vt:lpstr>Summary Budget</vt:lpstr>
      <vt:lpstr>SFI Summary Sheet for Sesame</vt:lpstr>
      <vt:lpstr>'Student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Darragh O'Neill</dc:creator>
  <cp:lastModifiedBy>Darragh O'Neill</cp:lastModifiedBy>
  <cp:lastPrinted>2018-05-30T09:51:18Z</cp:lastPrinted>
  <dcterms:created xsi:type="dcterms:W3CDTF">2018-05-10T08:42:23Z</dcterms:created>
  <dcterms:modified xsi:type="dcterms:W3CDTF">2018-06-07T10:23:27Z</dcterms:modified>
</cp:coreProperties>
</file>